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5" activeTab="5"/>
  </bookViews>
  <sheets>
    <sheet name="отчет 2011" sheetId="1" state="hidden" r:id="rId1"/>
    <sheet name="План 2012" sheetId="2" state="hidden" r:id="rId2"/>
    <sheet name="Лист1" sheetId="3" state="hidden" r:id="rId3"/>
    <sheet name="07.12" sheetId="4" state="hidden" r:id="rId4"/>
    <sheet name="план 2013" sheetId="5" state="hidden" r:id="rId5"/>
    <sheet name="отчет 2012 новый" sheetId="6" r:id="rId6"/>
    <sheet name="накопит отчет новый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<sst xmlns="http://schemas.openxmlformats.org/spreadsheetml/2006/main" count="556" uniqueCount="172">
  <si>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</si>
  <si>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</si>
  <si>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</si>
  <si>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</si>
  <si>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</si>
  <si>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</si>
  <si>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</si>
  <si>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</si>
  <si>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</si>
  <si>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</si>
  <si>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</si>
  <si>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</si>
  <si>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</si>
  <si>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</si>
  <si>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</si>
  <si>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</si>
  <si>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</si>
  <si>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</si>
  <si>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</si>
  <si>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</si>
  <si>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</si>
  <si>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</si>
  <si>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</si>
  <si>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</si>
  <si>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</si>
  <si>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</si>
  <si>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</si>
  <si>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</si>
  <si>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</si>
  <si>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</si>
  <si>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</si>
  <si>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</si>
  <si>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</si>
  <si>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</si>
  <si>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</si>
  <si>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</si>
  <si>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</si>
  <si>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</si>
  <si>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</si>
  <si>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Тамбовская, 10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</si>
  <si>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</si>
  <si>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</si>
  <si>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</si>
  <si>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</si>
  <si>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</si>
  <si>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</si>
  <si>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</si>
  <si>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</si>
  <si>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</si>
  <si>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</si>
  <si>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</si>
  <si>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</si>
  <si>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</si>
  <si>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</si>
  <si>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</si>
  <si>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</si>
  <si>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</si>
  <si>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</si>
  <si>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</si>
  <si>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</si>
  <si>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</si>
  <si>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</si>
  <si>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</si>
  <si>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</si>
  <si>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</si>
  <si>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</si>
  <si>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</si>
  <si>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</si>
  <si>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</si>
  <si>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</si>
  <si>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</si>
  <si>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</si>
  <si>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</si>
  <si>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</si>
  <si>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</si>
  <si>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</si>
  <si>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</si>
  <si>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</si>
  <si>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</si>
  <si>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</si>
  <si>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</si>
  <si>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</si>
  <si>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</si>
  <si>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</si>
  <si>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</si>
  <si>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</si>
  <si>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</si>
  <si>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</si>
  <si>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</si>
  <si>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</si>
  <si>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</si>
  <si>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</si>
  <si>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</si>
  <si>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</si>
  <si>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</si>
  <si>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</si>
  <si>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</si>
  <si>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</si>
  <si>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</si>
  <si>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</si>
  <si>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</si>
  <si>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</si>
  <si>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</si>
  <si>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</si>
  <si>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</si>
  <si>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</si>
  <si>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174/7 от 28.03.08, заключенного между ООО "Сервис Центр СОЖ" и собственниками многоквартирного дома
по адресу:  ул. Тамбовская, 10</t>
  </si>
  <si>
    <t xml:space="preserve">      Представитель собственников  - старший по дому _________________, с одной стороны и Общество с Ограниченной Ответственностью "Центр Сервис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</si>
  <si>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</si>
  <si>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</t>
  </si>
  <si>
    <t>Справочно: индекс увеличения тарифа по году 103%:</t>
  </si>
  <si>
    <t xml:space="preserve">              Подъезд № 8 кв. № 105-119 уборка не производится по заявлению жителей с 01.04.2011г.</t>
  </si>
  <si>
    <t xml:space="preserve">              Подъезд № 1 кв. № 1-15 уборка не производится по заявлению жителей с 01.01.2012г.</t>
  </si>
  <si>
    <t>Смета доходов и расходов  на  2012 г.
согласно договора управления МКД № 174/7 от 28.03.08 г., заключенного между ООО "СЦ СОЖ" и собственниками многоквартирного дома
по адресу:  ул. Тамбовская, 10</t>
  </si>
  <si>
    <t xml:space="preserve"> Текущий ремонт общего имущества                             по плану работ </t>
  </si>
  <si>
    <t>по плану работ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</si>
  <si>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</si>
  <si>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</si>
  <si>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</si>
  <si>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</si>
  <si>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</si>
  <si>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</si>
  <si>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</si>
  <si>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Директор ООО "СЦ СОЖ"                                                                       </t>
  </si>
  <si>
    <t>________________ Н.Ф.Шестаева</t>
  </si>
  <si>
    <t xml:space="preserve"> Текущий ремонт общего имущества                             </t>
  </si>
  <si>
    <t>* в случае уточнения площадей возможно изменение стоимости</t>
  </si>
  <si>
    <t>Тариф 
на 1 кв.м. ноябрь-декабрь 2012г.
руб.</t>
  </si>
  <si>
    <t>Стоимость работ
ноябрь-декабрь 2012г.                      руб.</t>
  </si>
  <si>
    <t>5=гр.4*Sдома*2мес.</t>
  </si>
  <si>
    <t>подметание асфальта -   1 раз/неделю,                
подбор мусора - ежедневно</t>
  </si>
  <si>
    <t>Представитель Собственников</t>
  </si>
  <si>
    <t xml:space="preserve">  ________________________</t>
  </si>
  <si>
    <t>Тариф с 1 ноября 2012 г. - 10,74 руб., капитальный ремонт - 0,80 руб.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</si>
  <si>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</si>
  <si>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</si>
  <si>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</si>
  <si>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</si>
  <si>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</si>
  <si>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</si>
  <si>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</si>
  <si>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</si>
  <si>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</si>
  <si>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</si>
  <si>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</si>
  <si>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</si>
  <si>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</si>
  <si>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</si>
  <si>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65/7 от 29.10.12 г., заключенного между ООО "СЦ СОЖ" и собственниками многоквартирного дома
по адресу:  ул. Тамбовская, 10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</si>
  <si>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01.11.12г. по 31.12.12 г.  </t>
  </si>
  <si>
    <t>Тариф 01.11.12г-31.12.12г.</t>
  </si>
  <si>
    <t>Сумма с 01.11.12г.-31.12.12г.,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</si>
  <si>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</si>
  <si>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</si>
  <si>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01.11.12 - 31.12.12г.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</si>
  <si>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</si>
  <si>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</si>
  <si>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</si>
  <si>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</si>
  <si>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</si>
  <si>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</si>
  <si>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ОТЧЕТ
с 01.11.12г. по 31.12.12г. о выполнении условий договора  на оказание услуг МКД 
№ 65/7 от 29.10.12 г., заключенного между ООО "СЦ СОЖ" и собственниками многоквартирного дома
по адресу:  ул.Тамбовская, 10</t>
  </si>
  <si>
    <t>Тамбовская, 10</t>
  </si>
  <si>
    <t>Сальдо
 на 01.11
+экономия
-перерасход</t>
  </si>
  <si>
    <t>результат
 за год
(+эконом., 
-перерасх.)</t>
  </si>
  <si>
    <t>с 01.11.12г.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</si>
  <si>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</si>
  <si>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</si>
  <si>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</si>
  <si>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</si>
  <si>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</si>
  <si>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65/7 от 29.10.12 г., заключенного между ООО "Сервис-Центр СОЖ" и собственниками многоквартирного дома
по адресу:  ул. Тамбовская,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</si>
</sst>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5039062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10" ht="102" customHeight="1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61.5" customHeight="1">
      <c r="A2" s="176" t="s">
        <v>107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5764.2</v>
      </c>
      <c r="F3" s="2"/>
      <c r="I3" s="36">
        <v>0</v>
      </c>
    </row>
    <row r="4" spans="2:9" ht="15.75">
      <c r="B4" s="3" t="s">
        <v>1</v>
      </c>
      <c r="C4" s="21">
        <v>5</v>
      </c>
      <c r="D4" s="2" t="s">
        <v>2</v>
      </c>
      <c r="E4" s="17">
        <v>119</v>
      </c>
      <c r="F4" s="2"/>
      <c r="I4" t="s">
        <v>44</v>
      </c>
    </row>
    <row r="5" spans="2:9" ht="15.75">
      <c r="B5" s="3" t="s">
        <v>3</v>
      </c>
      <c r="C5" s="4">
        <v>8</v>
      </c>
      <c r="D5" s="2" t="s">
        <v>4</v>
      </c>
      <c r="E5" s="2" t="s">
        <v>15</v>
      </c>
      <c r="F5" s="2"/>
      <c r="G5" s="2"/>
      <c r="I5" s="2" t="s">
        <v>51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52</v>
      </c>
    </row>
    <row r="7" spans="1:10" ht="60" customHeight="1">
      <c r="A7" s="12" t="s">
        <v>31</v>
      </c>
      <c r="B7" s="154" t="s">
        <v>53</v>
      </c>
      <c r="C7" s="155"/>
      <c r="D7" s="156"/>
      <c r="E7" s="6" t="s">
        <v>6</v>
      </c>
      <c r="F7" s="6" t="s">
        <v>7</v>
      </c>
      <c r="G7" s="38" t="s">
        <v>20</v>
      </c>
      <c r="H7" s="157" t="s">
        <v>54</v>
      </c>
      <c r="I7" s="158"/>
      <c r="J7" s="159"/>
    </row>
    <row r="8" spans="1:10" ht="15.75" customHeight="1">
      <c r="A8" s="13">
        <v>1</v>
      </c>
      <c r="B8" s="160"/>
      <c r="C8" s="147"/>
      <c r="D8" s="147"/>
      <c r="E8" s="147"/>
      <c r="F8" s="148"/>
      <c r="G8" s="39"/>
      <c r="H8" s="40" t="s">
        <v>55</v>
      </c>
      <c r="I8" s="41" t="s">
        <v>56</v>
      </c>
      <c r="J8" s="41" t="s">
        <v>57</v>
      </c>
    </row>
    <row r="9" spans="1:10" ht="15.75" customHeight="1">
      <c r="A9" s="13"/>
      <c r="B9" s="160" t="s">
        <v>58</v>
      </c>
      <c r="C9" s="147"/>
      <c r="D9" s="147"/>
      <c r="E9" s="147"/>
      <c r="F9" s="148"/>
      <c r="G9" s="40"/>
      <c r="H9" s="40"/>
      <c r="I9" s="24"/>
      <c r="J9" s="41"/>
    </row>
    <row r="10" spans="1:10" ht="15.75">
      <c r="A10" s="42"/>
      <c r="B10" s="149" t="s">
        <v>59</v>
      </c>
      <c r="C10" s="149"/>
      <c r="D10" s="149"/>
      <c r="E10" s="149"/>
      <c r="F10" s="149"/>
      <c r="G10" s="8"/>
      <c r="H10" s="18">
        <v>709408.75</v>
      </c>
      <c r="I10" s="28"/>
      <c r="J10" s="43">
        <f>H10+I10</f>
        <v>709408.75</v>
      </c>
    </row>
    <row r="11" spans="1:10" ht="15.75">
      <c r="A11" s="42"/>
      <c r="B11" s="149" t="s">
        <v>60</v>
      </c>
      <c r="C11" s="149"/>
      <c r="D11" s="149"/>
      <c r="E11" s="149"/>
      <c r="F11" s="149"/>
      <c r="G11" s="8"/>
      <c r="H11" s="9">
        <v>41694.01</v>
      </c>
      <c r="I11" s="28"/>
      <c r="J11" s="43">
        <f>H11+I11</f>
        <v>41694.01</v>
      </c>
    </row>
    <row r="12" spans="1:10" ht="15.75" customHeight="1">
      <c r="A12" s="13"/>
      <c r="B12" s="149" t="s">
        <v>61</v>
      </c>
      <c r="C12" s="149"/>
      <c r="D12" s="149"/>
      <c r="E12" s="149"/>
      <c r="F12" s="149"/>
      <c r="G12" s="8"/>
      <c r="H12" s="18"/>
      <c r="I12" s="44">
        <v>0</v>
      </c>
      <c r="J12" s="43">
        <f>H12+I12</f>
        <v>0</v>
      </c>
    </row>
    <row r="13" spans="1:10" ht="15.75" customHeight="1">
      <c r="A13" s="13"/>
      <c r="B13" s="149" t="s">
        <v>62</v>
      </c>
      <c r="C13" s="149"/>
      <c r="D13" s="149"/>
      <c r="E13" s="149"/>
      <c r="F13" s="149"/>
      <c r="G13" s="8"/>
      <c r="H13" s="18"/>
      <c r="I13" s="44">
        <v>0</v>
      </c>
      <c r="J13" s="43">
        <f>H13+I13</f>
        <v>0</v>
      </c>
    </row>
    <row r="14" spans="1:10" ht="15.75" customHeight="1">
      <c r="A14" s="13"/>
      <c r="B14" s="150" t="s">
        <v>63</v>
      </c>
      <c r="C14" s="150"/>
      <c r="D14" s="150"/>
      <c r="E14" s="150"/>
      <c r="F14" s="150"/>
      <c r="G14" s="8"/>
      <c r="H14" s="45">
        <f>SUM(H10:H12)</f>
        <v>751102.76</v>
      </c>
      <c r="I14" s="46">
        <f>SUM(I10:I12)</f>
        <v>0</v>
      </c>
      <c r="J14" s="45">
        <f>SUM(J10:J13)</f>
        <v>751102.76</v>
      </c>
    </row>
    <row r="15" spans="1:10" ht="15.75" customHeight="1">
      <c r="A15" s="13">
        <v>2</v>
      </c>
      <c r="B15" s="151" t="s">
        <v>33</v>
      </c>
      <c r="C15" s="151"/>
      <c r="D15" s="151"/>
      <c r="E15" s="151"/>
      <c r="F15" s="151"/>
      <c r="G15" s="8"/>
      <c r="H15" s="18"/>
      <c r="I15" s="28"/>
      <c r="J15" s="20"/>
    </row>
    <row r="16" spans="1:10" ht="18.75" customHeight="1">
      <c r="A16" s="13" t="s">
        <v>48</v>
      </c>
      <c r="B16" s="10" t="s">
        <v>34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52" t="s">
        <v>64</v>
      </c>
      <c r="C17" s="152"/>
      <c r="D17" s="152"/>
      <c r="E17" s="49" t="s">
        <v>28</v>
      </c>
      <c r="F17" s="30" t="s">
        <v>22</v>
      </c>
      <c r="G17" s="31">
        <v>1.06</v>
      </c>
      <c r="H17" s="50">
        <f>ROUND(G17*$E$3*12,2)</f>
        <v>73320.62</v>
      </c>
      <c r="I17" s="51">
        <f>$I$12*0.08</f>
        <v>0</v>
      </c>
      <c r="J17" s="52">
        <f>SUM(H17:I17)</f>
        <v>73320.62</v>
      </c>
    </row>
    <row r="18" spans="1:10" ht="15.75" customHeight="1">
      <c r="A18" s="13"/>
      <c r="B18" s="153" t="s">
        <v>16</v>
      </c>
      <c r="C18" s="153"/>
      <c r="D18" s="153"/>
      <c r="E18" s="49" t="s">
        <v>28</v>
      </c>
      <c r="F18" s="30" t="s">
        <v>17</v>
      </c>
      <c r="G18" s="31">
        <v>0.28</v>
      </c>
      <c r="H18" s="50">
        <f>ROUND(G18*$E$3*12,2)</f>
        <v>19367.71</v>
      </c>
      <c r="I18" s="51">
        <f>$I$12*0.02</f>
        <v>0</v>
      </c>
      <c r="J18" s="52">
        <f>SUM(H18:I18)</f>
        <v>19367.71</v>
      </c>
    </row>
    <row r="19" spans="1:10" ht="15.75" customHeight="1">
      <c r="A19" s="13"/>
      <c r="B19" s="145" t="s">
        <v>21</v>
      </c>
      <c r="C19" s="145"/>
      <c r="D19" s="145"/>
      <c r="E19" s="53" t="s">
        <v>65</v>
      </c>
      <c r="F19" s="32" t="s">
        <v>18</v>
      </c>
      <c r="G19" s="31">
        <v>0.39</v>
      </c>
      <c r="H19" s="50">
        <f>J19-I19</f>
        <v>24563.7</v>
      </c>
      <c r="I19" s="51">
        <f>$I$12*0.07</f>
        <v>0</v>
      </c>
      <c r="J19" s="54">
        <v>24563.7</v>
      </c>
    </row>
    <row r="20" spans="1:10" ht="33" customHeight="1">
      <c r="A20" s="48"/>
      <c r="B20" s="152" t="s">
        <v>27</v>
      </c>
      <c r="C20" s="152"/>
      <c r="D20" s="152"/>
      <c r="E20" s="55" t="s">
        <v>8</v>
      </c>
      <c r="F20" s="33" t="s">
        <v>9</v>
      </c>
      <c r="G20" s="31">
        <v>0.51</v>
      </c>
      <c r="H20" s="50">
        <f>ROUND(G20*$E$3*12,2)</f>
        <v>35276.9</v>
      </c>
      <c r="I20" s="51">
        <f>$I$12*0.04</f>
        <v>0</v>
      </c>
      <c r="J20" s="52">
        <f>SUM(H20:I20)</f>
        <v>35276.9</v>
      </c>
    </row>
    <row r="21" spans="1:10" ht="38.25">
      <c r="A21" s="13"/>
      <c r="B21" s="145" t="s">
        <v>25</v>
      </c>
      <c r="C21" s="145"/>
      <c r="D21" s="145"/>
      <c r="E21" s="53" t="s">
        <v>66</v>
      </c>
      <c r="F21" s="32" t="s">
        <v>23</v>
      </c>
      <c r="G21" s="31">
        <v>0.12</v>
      </c>
      <c r="H21" s="50">
        <f>J21-I21</f>
        <v>2611.4</v>
      </c>
      <c r="I21" s="51">
        <f>$I$12*0.01</f>
        <v>0</v>
      </c>
      <c r="J21" s="54">
        <v>2611.4</v>
      </c>
    </row>
    <row r="22" spans="1:10" ht="31.5">
      <c r="A22" s="48"/>
      <c r="B22" s="145" t="s">
        <v>10</v>
      </c>
      <c r="C22" s="145"/>
      <c r="D22" s="145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45" t="s">
        <v>24</v>
      </c>
      <c r="C23" s="163"/>
      <c r="D23" s="163"/>
      <c r="E23" s="56" t="s">
        <v>12</v>
      </c>
      <c r="F23" s="29" t="s">
        <v>13</v>
      </c>
      <c r="G23" s="31">
        <v>0.05</v>
      </c>
      <c r="H23" s="50">
        <f>J23-I23</f>
        <v>16424.42</v>
      </c>
      <c r="I23" s="51">
        <f>$I$12*0.003</f>
        <v>0</v>
      </c>
      <c r="J23" s="54">
        <v>16424.42</v>
      </c>
    </row>
    <row r="24" spans="1:10" ht="36.75" customHeight="1">
      <c r="A24" s="13"/>
      <c r="B24" s="145" t="s">
        <v>67</v>
      </c>
      <c r="C24" s="145"/>
      <c r="D24" s="145"/>
      <c r="E24" s="49" t="s">
        <v>29</v>
      </c>
      <c r="F24" s="57" t="s">
        <v>68</v>
      </c>
      <c r="G24" s="31">
        <v>2.15</v>
      </c>
      <c r="H24" s="50">
        <f aca="true" t="shared" si="0" ref="H24:H29">ROUND(G24*$E$3*12,2)</f>
        <v>148716.36</v>
      </c>
      <c r="I24" s="51">
        <f>$I$12*0.19</f>
        <v>0</v>
      </c>
      <c r="J24" s="52">
        <f aca="true" t="shared" si="1" ref="J24:J29">SUM(H24:I24)</f>
        <v>148716.36</v>
      </c>
    </row>
    <row r="25" spans="1:10" ht="25.5">
      <c r="A25" s="13"/>
      <c r="B25" s="153" t="s">
        <v>14</v>
      </c>
      <c r="C25" s="153"/>
      <c r="D25" s="153"/>
      <c r="E25" s="49" t="s">
        <v>29</v>
      </c>
      <c r="F25" s="57" t="s">
        <v>68</v>
      </c>
      <c r="G25" s="31">
        <v>0.44</v>
      </c>
      <c r="H25" s="58">
        <f>ROUND((4910.6*G25*12),2)</f>
        <v>25927.97</v>
      </c>
      <c r="I25" s="51">
        <v>0</v>
      </c>
      <c r="J25" s="52">
        <f t="shared" si="1"/>
        <v>25927.97</v>
      </c>
    </row>
    <row r="26" spans="1:10" ht="31.5" customHeight="1">
      <c r="A26" s="13"/>
      <c r="B26" s="164" t="s">
        <v>30</v>
      </c>
      <c r="C26" s="165"/>
      <c r="D26" s="166"/>
      <c r="E26" s="49" t="s">
        <v>29</v>
      </c>
      <c r="F26" s="57" t="s">
        <v>68</v>
      </c>
      <c r="G26" s="59">
        <f>3.46-G27-G28</f>
        <v>3.46</v>
      </c>
      <c r="H26" s="58">
        <f t="shared" si="0"/>
        <v>239329.58</v>
      </c>
      <c r="I26" s="60">
        <f>$I$12*0.18</f>
        <v>0</v>
      </c>
      <c r="J26" s="52">
        <f t="shared" si="1"/>
        <v>239329.58</v>
      </c>
    </row>
    <row r="27" spans="1:10" ht="31.5" customHeight="1">
      <c r="A27" s="48"/>
      <c r="B27" s="145" t="s">
        <v>69</v>
      </c>
      <c r="C27" s="145"/>
      <c r="D27" s="145"/>
      <c r="E27" s="49" t="s">
        <v>29</v>
      </c>
      <c r="F27" s="57" t="s">
        <v>68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45" t="s">
        <v>70</v>
      </c>
      <c r="C28" s="145"/>
      <c r="D28" s="145"/>
      <c r="E28" s="53" t="s">
        <v>8</v>
      </c>
      <c r="F28" s="57" t="s">
        <v>68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63" t="s">
        <v>19</v>
      </c>
      <c r="C29" s="163"/>
      <c r="D29" s="163"/>
      <c r="E29" s="53" t="s">
        <v>29</v>
      </c>
      <c r="F29" s="57" t="s">
        <v>68</v>
      </c>
      <c r="G29" s="29">
        <v>1.06</v>
      </c>
      <c r="H29" s="50">
        <f t="shared" si="0"/>
        <v>73320.62</v>
      </c>
      <c r="I29" s="51">
        <f>$I$12*0.1</f>
        <v>0</v>
      </c>
      <c r="J29" s="52">
        <f t="shared" si="1"/>
        <v>73320.62</v>
      </c>
    </row>
    <row r="30" spans="1:10" ht="15.75" customHeight="1">
      <c r="A30" s="13"/>
      <c r="B30" s="172"/>
      <c r="C30" s="173"/>
      <c r="D30" s="174"/>
      <c r="E30" s="53"/>
      <c r="F30" s="57"/>
      <c r="G30" s="29"/>
      <c r="H30" s="58"/>
      <c r="I30" s="44"/>
      <c r="J30" s="61"/>
    </row>
    <row r="31" spans="1:10" ht="15.75">
      <c r="A31" s="13"/>
      <c r="B31" s="172"/>
      <c r="C31" s="173"/>
      <c r="D31" s="174"/>
      <c r="E31" s="53"/>
      <c r="F31" s="57"/>
      <c r="G31" s="29"/>
      <c r="H31" s="58"/>
      <c r="I31" s="44"/>
      <c r="J31" s="61"/>
    </row>
    <row r="32" spans="1:10" ht="15.75">
      <c r="A32" s="13"/>
      <c r="B32" s="146" t="s">
        <v>26</v>
      </c>
      <c r="C32" s="146"/>
      <c r="D32" s="146"/>
      <c r="E32" s="7"/>
      <c r="F32" s="57"/>
      <c r="G32" s="11">
        <f>SUM(G17:G29)</f>
        <v>9.520000000000001</v>
      </c>
      <c r="H32" s="62">
        <f>SUM(H17:H31)</f>
        <v>658859.2799999999</v>
      </c>
      <c r="I32" s="63">
        <f>SUM(I17:I31)</f>
        <v>0</v>
      </c>
      <c r="J32" s="62">
        <f>SUM(J17:J31)</f>
        <v>658859.2799999999</v>
      </c>
    </row>
    <row r="33" spans="1:10" ht="15.75">
      <c r="A33" s="13"/>
      <c r="B33" s="168" t="s">
        <v>71</v>
      </c>
      <c r="C33" s="165"/>
      <c r="D33" s="166"/>
      <c r="E33" s="53" t="s">
        <v>8</v>
      </c>
      <c r="F33" s="57"/>
      <c r="G33" s="29"/>
      <c r="H33" s="58"/>
      <c r="I33" s="44"/>
      <c r="J33" s="61"/>
    </row>
    <row r="34" spans="1:10" ht="25.5">
      <c r="A34" s="13"/>
      <c r="B34" s="168" t="s">
        <v>72</v>
      </c>
      <c r="C34" s="165"/>
      <c r="D34" s="166"/>
      <c r="E34" s="49" t="s">
        <v>29</v>
      </c>
      <c r="F34" s="57"/>
      <c r="G34" s="29"/>
      <c r="H34" s="58"/>
      <c r="I34" s="44"/>
      <c r="J34" s="61"/>
    </row>
    <row r="35" spans="1:10" ht="15.75">
      <c r="A35" s="13"/>
      <c r="B35" s="78"/>
      <c r="C35" s="79"/>
      <c r="D35" s="79"/>
      <c r="E35" s="80"/>
      <c r="F35" s="57"/>
      <c r="G35" s="11"/>
      <c r="H35" s="62"/>
      <c r="I35" s="63"/>
      <c r="J35" s="62"/>
    </row>
    <row r="36" spans="1:10" ht="15.75" customHeight="1">
      <c r="A36" s="13" t="s">
        <v>73</v>
      </c>
      <c r="B36" s="128" t="s">
        <v>74</v>
      </c>
      <c r="C36" s="161"/>
      <c r="D36" s="161"/>
      <c r="E36" s="162"/>
      <c r="F36" s="57" t="s">
        <v>68</v>
      </c>
      <c r="G36" s="14">
        <f>H36/E3/12</f>
        <v>3.709961197275135</v>
      </c>
      <c r="H36" s="64">
        <v>256619.5</v>
      </c>
      <c r="I36" s="65">
        <v>0</v>
      </c>
      <c r="J36" s="45">
        <f>SUM(H36:I36)</f>
        <v>256619.5</v>
      </c>
    </row>
    <row r="37" spans="1:10" ht="15.75" customHeight="1">
      <c r="A37" s="15"/>
      <c r="B37" s="178" t="s">
        <v>35</v>
      </c>
      <c r="C37" s="178"/>
      <c r="D37" s="178"/>
      <c r="E37" s="178"/>
      <c r="F37" s="178"/>
      <c r="G37" s="11">
        <f>SUM(G32:G36)</f>
        <v>13.229961197275136</v>
      </c>
      <c r="H37" s="66">
        <f>SUM(H32:H36)</f>
        <v>915478.7799999999</v>
      </c>
      <c r="I37" s="66">
        <f>SUM(I32:I36)</f>
        <v>0</v>
      </c>
      <c r="J37" s="67">
        <f>SUM(J32:J36)</f>
        <v>915478.7799999999</v>
      </c>
    </row>
    <row r="38" spans="1:10" ht="15.75" customHeight="1">
      <c r="A38" s="13" t="s">
        <v>50</v>
      </c>
      <c r="B38" s="177" t="s">
        <v>75</v>
      </c>
      <c r="C38" s="177"/>
      <c r="D38" s="177"/>
      <c r="E38" s="177"/>
      <c r="F38" s="177"/>
      <c r="G38" s="14"/>
      <c r="H38" s="68">
        <v>0</v>
      </c>
      <c r="I38" s="68">
        <v>0</v>
      </c>
      <c r="J38" s="69">
        <f>SUM(H38:I38)</f>
        <v>0</v>
      </c>
    </row>
    <row r="39" spans="1:10" ht="19.5" customHeight="1">
      <c r="A39" s="15"/>
      <c r="B39" s="178" t="s">
        <v>76</v>
      </c>
      <c r="C39" s="178"/>
      <c r="D39" s="178"/>
      <c r="E39" s="178"/>
      <c r="F39" s="178"/>
      <c r="G39" s="11">
        <f>SUM(G37:G38)</f>
        <v>13.229961197275136</v>
      </c>
      <c r="H39" s="66">
        <f>SUM(H37:H38)</f>
        <v>915478.7799999999</v>
      </c>
      <c r="I39" s="66">
        <f>SUM(I37:I38)</f>
        <v>0</v>
      </c>
      <c r="J39" s="67">
        <f>SUM(J37:J38)</f>
        <v>915478.7799999999</v>
      </c>
    </row>
    <row r="40" spans="1:10" ht="15.75">
      <c r="A40" s="13">
        <v>3</v>
      </c>
      <c r="B40" s="164" t="s">
        <v>108</v>
      </c>
      <c r="C40" s="169"/>
      <c r="D40" s="169"/>
      <c r="E40" s="169"/>
      <c r="F40" s="169"/>
      <c r="G40" s="170"/>
      <c r="H40" s="50">
        <f>H14-H39</f>
        <v>-164376.0199999999</v>
      </c>
      <c r="I40" s="50">
        <f>I14-I39</f>
        <v>0</v>
      </c>
      <c r="J40" s="70">
        <f>J14-J39</f>
        <v>-164376.0199999999</v>
      </c>
    </row>
    <row r="41" spans="2:6" ht="15.75">
      <c r="B41" s="19"/>
      <c r="F41" s="19"/>
    </row>
    <row r="42" spans="2:9" ht="15.75">
      <c r="B42" s="19" t="s">
        <v>32</v>
      </c>
      <c r="F42" s="19"/>
      <c r="H42" s="171" t="s">
        <v>37</v>
      </c>
      <c r="I42" s="171"/>
    </row>
    <row r="43" spans="2:9" ht="15.75">
      <c r="B43" s="19" t="s">
        <v>41</v>
      </c>
      <c r="C43" s="19"/>
      <c r="D43" s="19"/>
      <c r="E43" s="19"/>
      <c r="F43" s="19"/>
      <c r="H43" s="19"/>
      <c r="I43" s="19"/>
    </row>
    <row r="44" ht="15.75">
      <c r="B44" t="s">
        <v>38</v>
      </c>
    </row>
    <row r="45" spans="2:4" ht="15.75">
      <c r="B45" s="167"/>
      <c r="C45" s="167"/>
      <c r="D45" s="167"/>
    </row>
  </sheetData>
  <mergeCells count="37">
    <mergeCell ref="H42:I42"/>
    <mergeCell ref="B31:D31"/>
    <mergeCell ref="A1:J1"/>
    <mergeCell ref="A2:J2"/>
    <mergeCell ref="B38:F38"/>
    <mergeCell ref="B39:F39"/>
    <mergeCell ref="B37:F37"/>
    <mergeCell ref="B29:D29"/>
    <mergeCell ref="B30:D30"/>
    <mergeCell ref="B27:D27"/>
    <mergeCell ref="B45:D45"/>
    <mergeCell ref="B33:D33"/>
    <mergeCell ref="B34:D34"/>
    <mergeCell ref="B40:G40"/>
    <mergeCell ref="B28:D28"/>
    <mergeCell ref="B32:D32"/>
    <mergeCell ref="B36:E36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H7:J7"/>
    <mergeCell ref="B8:F8"/>
    <mergeCell ref="B9:F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9">
      <selection activeCell="H20" sqref="H2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bestFit="1" customWidth="1"/>
    <col min="6" max="6" width="17.75390625" style="0" hidden="1" customWidth="1"/>
    <col min="7" max="7" width="7.375" style="0" bestFit="1" customWidth="1"/>
    <col min="8" max="8" width="10.125" style="0" customWidth="1"/>
  </cols>
  <sheetData>
    <row r="1" spans="1:8" ht="85.5" customHeight="1">
      <c r="A1" s="175" t="s">
        <v>113</v>
      </c>
      <c r="B1" s="175"/>
      <c r="C1" s="175"/>
      <c r="D1" s="175"/>
      <c r="E1" s="175"/>
      <c r="F1" s="175"/>
      <c r="G1" s="175"/>
      <c r="H1" s="175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5764.2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119</v>
      </c>
      <c r="F3" s="2"/>
    </row>
    <row r="4" spans="2:7" ht="15.75">
      <c r="B4" s="3" t="s">
        <v>3</v>
      </c>
      <c r="C4" s="4">
        <v>8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94" t="s">
        <v>53</v>
      </c>
      <c r="C6" s="195"/>
      <c r="D6" s="196"/>
      <c r="E6" s="22" t="s">
        <v>6</v>
      </c>
      <c r="F6" s="22" t="s">
        <v>7</v>
      </c>
      <c r="G6" s="71" t="s">
        <v>100</v>
      </c>
      <c r="H6" s="72" t="s">
        <v>45</v>
      </c>
    </row>
    <row r="7" spans="1:8" ht="15.75" customHeight="1">
      <c r="A7" s="27">
        <v>1</v>
      </c>
      <c r="B7" s="197" t="s">
        <v>46</v>
      </c>
      <c r="C7" s="197"/>
      <c r="D7" s="197"/>
      <c r="E7" s="197"/>
      <c r="F7" s="197"/>
      <c r="G7" s="28"/>
      <c r="H7" s="73"/>
    </row>
    <row r="8" spans="1:8" ht="33.75" customHeight="1">
      <c r="A8" s="27"/>
      <c r="B8" s="150" t="s">
        <v>101</v>
      </c>
      <c r="C8" s="150"/>
      <c r="D8" s="150"/>
      <c r="E8" s="150"/>
      <c r="F8" s="150"/>
      <c r="G8" s="14">
        <f>G34</f>
        <v>10.89</v>
      </c>
      <c r="H8" s="73">
        <f>ROUND($E$2*G8*12,0)</f>
        <v>753266</v>
      </c>
    </row>
    <row r="9" spans="1:8" ht="15.75" customHeight="1">
      <c r="A9" s="27"/>
      <c r="B9" s="193" t="s">
        <v>47</v>
      </c>
      <c r="C9" s="193"/>
      <c r="D9" s="193"/>
      <c r="E9" s="193"/>
      <c r="F9" s="193"/>
      <c r="G9" s="13">
        <v>0.78</v>
      </c>
      <c r="H9" s="73">
        <f>ROUND($E$2*G9*12,0)</f>
        <v>53953</v>
      </c>
    </row>
    <row r="10" spans="1:8" ht="18.75" customHeight="1">
      <c r="A10" s="27">
        <v>2</v>
      </c>
      <c r="B10" s="151" t="s">
        <v>33</v>
      </c>
      <c r="C10" s="151"/>
      <c r="D10" s="151"/>
      <c r="E10" s="151"/>
      <c r="F10" s="151"/>
      <c r="G10" s="29"/>
      <c r="H10" s="73"/>
    </row>
    <row r="11" spans="1:8" ht="15.75" customHeight="1">
      <c r="A11" s="27" t="s">
        <v>48</v>
      </c>
      <c r="B11" s="10" t="s">
        <v>34</v>
      </c>
      <c r="C11" s="10"/>
      <c r="D11" s="10"/>
      <c r="E11" s="10"/>
      <c r="F11" s="5"/>
      <c r="G11" s="40"/>
      <c r="H11" s="73"/>
    </row>
    <row r="12" spans="1:8" ht="31.5" customHeight="1">
      <c r="A12" s="74"/>
      <c r="B12" s="191" t="s">
        <v>102</v>
      </c>
      <c r="C12" s="191"/>
      <c r="D12" s="191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75396</v>
      </c>
    </row>
    <row r="13" spans="1:8" ht="15.75">
      <c r="A13" s="74"/>
      <c r="B13" s="191" t="s">
        <v>16</v>
      </c>
      <c r="C13" s="191"/>
      <c r="D13" s="191"/>
      <c r="E13" s="49" t="s">
        <v>28</v>
      </c>
      <c r="F13" s="30" t="s">
        <v>17</v>
      </c>
      <c r="G13" s="31">
        <v>0.29</v>
      </c>
      <c r="H13" s="25">
        <f t="shared" si="0"/>
        <v>20059</v>
      </c>
    </row>
    <row r="14" spans="1:8" ht="15.75" customHeight="1">
      <c r="A14" s="74"/>
      <c r="B14" s="189" t="s">
        <v>21</v>
      </c>
      <c r="C14" s="189"/>
      <c r="D14" s="189"/>
      <c r="E14" s="53" t="s">
        <v>65</v>
      </c>
      <c r="F14" s="32" t="s">
        <v>18</v>
      </c>
      <c r="G14" s="31">
        <v>0.4</v>
      </c>
      <c r="H14" s="25">
        <f t="shared" si="0"/>
        <v>27668</v>
      </c>
    </row>
    <row r="15" spans="1:8" ht="31.5">
      <c r="A15" s="74"/>
      <c r="B15" s="192" t="s">
        <v>27</v>
      </c>
      <c r="C15" s="192"/>
      <c r="D15" s="192"/>
      <c r="E15" s="55" t="s">
        <v>8</v>
      </c>
      <c r="F15" s="33" t="s">
        <v>9</v>
      </c>
      <c r="G15" s="31">
        <v>0.53</v>
      </c>
      <c r="H15" s="25">
        <f t="shared" si="0"/>
        <v>36660</v>
      </c>
    </row>
    <row r="16" spans="1:8" ht="51">
      <c r="A16" s="74"/>
      <c r="B16" s="189" t="s">
        <v>25</v>
      </c>
      <c r="C16" s="189"/>
      <c r="D16" s="189"/>
      <c r="E16" s="53" t="s">
        <v>66</v>
      </c>
      <c r="F16" s="32" t="s">
        <v>23</v>
      </c>
      <c r="G16" s="31">
        <v>0.12</v>
      </c>
      <c r="H16" s="25">
        <f t="shared" si="0"/>
        <v>8300</v>
      </c>
    </row>
    <row r="17" spans="1:8" ht="31.5" customHeight="1">
      <c r="A17" s="74"/>
      <c r="B17" s="189" t="s">
        <v>10</v>
      </c>
      <c r="C17" s="189"/>
      <c r="D17" s="189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21.75" customHeight="1">
      <c r="A18" s="74"/>
      <c r="B18" s="189" t="s">
        <v>24</v>
      </c>
      <c r="C18" s="190"/>
      <c r="D18" s="190"/>
      <c r="E18" s="56" t="s">
        <v>12</v>
      </c>
      <c r="F18" s="29" t="s">
        <v>103</v>
      </c>
      <c r="G18" s="31">
        <v>0.05</v>
      </c>
      <c r="H18" s="25">
        <f t="shared" si="0"/>
        <v>3459</v>
      </c>
    </row>
    <row r="19" spans="1:8" ht="25.5">
      <c r="A19" s="74"/>
      <c r="B19" s="189" t="s">
        <v>67</v>
      </c>
      <c r="C19" s="189"/>
      <c r="D19" s="189"/>
      <c r="E19" s="49" t="s">
        <v>29</v>
      </c>
      <c r="F19" s="32" t="s">
        <v>36</v>
      </c>
      <c r="G19" s="31">
        <v>2.21</v>
      </c>
      <c r="H19" s="25">
        <f t="shared" si="0"/>
        <v>152867</v>
      </c>
    </row>
    <row r="20" spans="1:8" ht="33" customHeight="1">
      <c r="A20" s="74"/>
      <c r="B20" s="191" t="s">
        <v>14</v>
      </c>
      <c r="C20" s="191"/>
      <c r="D20" s="191"/>
      <c r="E20" s="49" t="s">
        <v>49</v>
      </c>
      <c r="F20" s="32" t="s">
        <v>36</v>
      </c>
      <c r="G20" s="31">
        <v>0.45</v>
      </c>
      <c r="H20" s="25">
        <f>ROUND($E$2/8*6*G20*12,0)</f>
        <v>23345</v>
      </c>
    </row>
    <row r="21" spans="1:8" ht="30.75" customHeight="1">
      <c r="A21" s="74"/>
      <c r="B21" s="189" t="s">
        <v>30</v>
      </c>
      <c r="C21" s="190"/>
      <c r="D21" s="190"/>
      <c r="E21" s="49" t="s">
        <v>29</v>
      </c>
      <c r="F21" s="32" t="s">
        <v>36</v>
      </c>
      <c r="G21" s="31">
        <f>3.57-G22-G23</f>
        <v>3.57</v>
      </c>
      <c r="H21" s="25">
        <f t="shared" si="0"/>
        <v>246938</v>
      </c>
    </row>
    <row r="22" spans="1:8" ht="31.5" customHeight="1">
      <c r="A22" s="74"/>
      <c r="B22" s="189" t="s">
        <v>104</v>
      </c>
      <c r="C22" s="189"/>
      <c r="D22" s="189"/>
      <c r="E22" s="53" t="s">
        <v>8</v>
      </c>
      <c r="F22" s="32" t="s">
        <v>36</v>
      </c>
      <c r="G22" s="31">
        <v>0</v>
      </c>
      <c r="H22" s="25">
        <f t="shared" si="0"/>
        <v>0</v>
      </c>
    </row>
    <row r="23" spans="1:8" ht="15.75" customHeight="1">
      <c r="A23" s="74"/>
      <c r="B23" s="189" t="s">
        <v>70</v>
      </c>
      <c r="C23" s="189"/>
      <c r="D23" s="189"/>
      <c r="E23" s="53" t="s">
        <v>8</v>
      </c>
      <c r="F23" s="32" t="s">
        <v>36</v>
      </c>
      <c r="G23" s="31">
        <v>0</v>
      </c>
      <c r="H23" s="25">
        <f t="shared" si="0"/>
        <v>0</v>
      </c>
    </row>
    <row r="24" spans="1:8" ht="36.75" customHeight="1">
      <c r="A24" s="74"/>
      <c r="B24" s="190" t="s">
        <v>19</v>
      </c>
      <c r="C24" s="190"/>
      <c r="D24" s="190"/>
      <c r="E24" s="49" t="s">
        <v>29</v>
      </c>
      <c r="F24" s="32" t="s">
        <v>36</v>
      </c>
      <c r="G24" s="31">
        <v>1.09</v>
      </c>
      <c r="H24" s="25">
        <f t="shared" si="0"/>
        <v>75396</v>
      </c>
    </row>
    <row r="25" spans="1:8" ht="15.75">
      <c r="A25" s="74"/>
      <c r="B25" s="168" t="s">
        <v>71</v>
      </c>
      <c r="C25" s="165"/>
      <c r="D25" s="166"/>
      <c r="E25" s="53" t="s">
        <v>8</v>
      </c>
      <c r="F25" s="32"/>
      <c r="G25" s="31"/>
      <c r="H25" s="25"/>
    </row>
    <row r="26" spans="1:8" ht="15.75">
      <c r="A26" s="74"/>
      <c r="B26" s="168" t="s">
        <v>72</v>
      </c>
      <c r="C26" s="165"/>
      <c r="D26" s="166"/>
      <c r="E26" s="49"/>
      <c r="F26" s="32"/>
      <c r="G26" s="31"/>
      <c r="H26" s="25"/>
    </row>
    <row r="27" spans="1:8" ht="15.75">
      <c r="A27" s="74"/>
      <c r="B27" s="172"/>
      <c r="C27" s="173"/>
      <c r="D27" s="174"/>
      <c r="E27" s="49"/>
      <c r="F27" s="32"/>
      <c r="G27" s="31"/>
      <c r="H27" s="25"/>
    </row>
    <row r="28" spans="1:8" ht="15.75">
      <c r="A28" s="74"/>
      <c r="B28" s="172"/>
      <c r="C28" s="173"/>
      <c r="D28" s="174"/>
      <c r="E28" s="49"/>
      <c r="F28" s="32"/>
      <c r="G28" s="31"/>
      <c r="H28" s="25"/>
    </row>
    <row r="29" spans="1:8" ht="15.75">
      <c r="A29" s="74"/>
      <c r="B29" s="186" t="s">
        <v>26</v>
      </c>
      <c r="C29" s="187"/>
      <c r="D29" s="188"/>
      <c r="E29" s="7"/>
      <c r="F29" s="32"/>
      <c r="G29" s="11">
        <f>SUM(G12:G28)</f>
        <v>9.8</v>
      </c>
      <c r="H29" s="25">
        <f t="shared" si="0"/>
        <v>677870</v>
      </c>
    </row>
    <row r="30" spans="1:8" ht="15.75">
      <c r="A30" s="74"/>
      <c r="B30" s="78"/>
      <c r="C30" s="79"/>
      <c r="D30" s="79"/>
      <c r="E30" s="7"/>
      <c r="F30" s="32"/>
      <c r="G30" s="11"/>
      <c r="H30" s="25"/>
    </row>
    <row r="31" spans="1:8" ht="15.75">
      <c r="A31" s="74"/>
      <c r="B31" s="78"/>
      <c r="C31" s="79"/>
      <c r="D31" s="79"/>
      <c r="E31" s="7"/>
      <c r="F31" s="32"/>
      <c r="G31" s="11"/>
      <c r="H31" s="25"/>
    </row>
    <row r="32" spans="1:8" ht="15.75">
      <c r="A32" s="74"/>
      <c r="B32" s="78"/>
      <c r="C32" s="79"/>
      <c r="D32" s="79"/>
      <c r="E32" s="7"/>
      <c r="F32" s="32"/>
      <c r="G32" s="11"/>
      <c r="H32" s="25"/>
    </row>
    <row r="33" spans="1:8" ht="31.5" customHeight="1">
      <c r="A33" s="27" t="s">
        <v>73</v>
      </c>
      <c r="B33" s="128" t="s">
        <v>114</v>
      </c>
      <c r="C33" s="161"/>
      <c r="D33" s="161"/>
      <c r="E33" s="162"/>
      <c r="F33" s="32" t="s">
        <v>36</v>
      </c>
      <c r="G33" s="14">
        <v>1.09</v>
      </c>
      <c r="H33" s="25">
        <f t="shared" si="0"/>
        <v>75396</v>
      </c>
    </row>
    <row r="34" spans="1:8" ht="15.75">
      <c r="A34" s="27"/>
      <c r="B34" s="179" t="s">
        <v>105</v>
      </c>
      <c r="C34" s="179"/>
      <c r="D34" s="179"/>
      <c r="E34" s="179"/>
      <c r="F34" s="179"/>
      <c r="G34" s="11">
        <f>SUM(G29:G33)</f>
        <v>10.89</v>
      </c>
      <c r="H34" s="75">
        <f t="shared" si="0"/>
        <v>753266</v>
      </c>
    </row>
    <row r="35" spans="1:8" ht="16.5" thickBot="1">
      <c r="A35" s="76">
        <v>3</v>
      </c>
      <c r="B35" s="180" t="s">
        <v>109</v>
      </c>
      <c r="C35" s="181"/>
      <c r="D35" s="182"/>
      <c r="E35" s="35" t="s">
        <v>115</v>
      </c>
      <c r="F35" s="34" t="s">
        <v>36</v>
      </c>
      <c r="G35" s="35">
        <v>0.78</v>
      </c>
      <c r="H35" s="77">
        <f>ROUND($E$2*G35*12,0)</f>
        <v>53953</v>
      </c>
    </row>
    <row r="36" spans="1:6" ht="15.75" customHeight="1">
      <c r="A36" s="85"/>
      <c r="B36" s="184" t="s">
        <v>110</v>
      </c>
      <c r="C36" s="184"/>
      <c r="D36" s="184"/>
      <c r="E36" s="184"/>
      <c r="F36" s="86"/>
    </row>
    <row r="37" spans="1:6" ht="15.75" customHeight="1">
      <c r="A37" s="85"/>
      <c r="B37" s="185" t="s">
        <v>116</v>
      </c>
      <c r="C37" s="185"/>
      <c r="D37" s="185"/>
      <c r="E37" s="185"/>
      <c r="F37" s="86"/>
    </row>
    <row r="38" spans="1:6" ht="15.75" customHeight="1">
      <c r="A38" s="85"/>
      <c r="B38" s="185" t="s">
        <v>117</v>
      </c>
      <c r="C38" s="185"/>
      <c r="D38" s="185"/>
      <c r="E38" s="185"/>
      <c r="F38" s="86"/>
    </row>
    <row r="39" ht="15.75">
      <c r="A39" t="s">
        <v>111</v>
      </c>
    </row>
    <row r="40" spans="1:8" ht="15.75">
      <c r="A40" t="s">
        <v>112</v>
      </c>
      <c r="B40" s="81"/>
      <c r="C40" s="81"/>
      <c r="D40" s="81"/>
      <c r="E40" s="81"/>
      <c r="F40" s="82"/>
      <c r="G40" s="83"/>
      <c r="H40" s="84"/>
    </row>
    <row r="42" spans="2:9" ht="15.75">
      <c r="B42" s="19" t="s">
        <v>32</v>
      </c>
      <c r="E42" s="19" t="s">
        <v>37</v>
      </c>
      <c r="F42" s="19"/>
      <c r="H42" s="183"/>
      <c r="I42" s="183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2:I42"/>
    <mergeCell ref="B36:E36"/>
    <mergeCell ref="B37:E37"/>
    <mergeCell ref="B38:E38"/>
  </mergeCells>
  <printOptions/>
  <pageMargins left="0.75" right="0.75" top="1" bottom="1" header="0.5" footer="0.5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3">
      <selection activeCell="K33" sqref="K3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50390625" style="0" customWidth="1"/>
    <col min="6" max="6" width="18.00390625" style="0" hidden="1" customWidth="1"/>
    <col min="7" max="7" width="6.75390625" style="0" bestFit="1" customWidth="1"/>
    <col min="8" max="8" width="6.75390625" style="0" customWidth="1"/>
    <col min="9" max="9" width="18.625" style="0" customWidth="1"/>
    <col min="10" max="10" width="12.25390625" style="0" customWidth="1"/>
    <col min="11" max="11" width="11.50390625" style="0" customWidth="1"/>
  </cols>
  <sheetData>
    <row r="1" spans="1:11" ht="102" customHeight="1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61.5" customHeight="1">
      <c r="A2" s="176" t="s">
        <v>107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0" ht="18.75">
      <c r="A3" t="s">
        <v>40</v>
      </c>
      <c r="B3" s="1" t="s">
        <v>39</v>
      </c>
      <c r="C3" s="2"/>
      <c r="D3" s="2" t="s">
        <v>0</v>
      </c>
      <c r="E3" s="16">
        <v>5764.2</v>
      </c>
      <c r="F3" s="2"/>
      <c r="J3" s="36">
        <v>0</v>
      </c>
    </row>
    <row r="4" spans="2:10" ht="15.75">
      <c r="B4" s="3" t="s">
        <v>1</v>
      </c>
      <c r="C4" s="21">
        <v>5</v>
      </c>
      <c r="D4" s="2" t="s">
        <v>2</v>
      </c>
      <c r="E4" s="17">
        <v>119</v>
      </c>
      <c r="F4" s="2"/>
      <c r="J4" t="s">
        <v>44</v>
      </c>
    </row>
    <row r="5" spans="2:10" ht="15.75">
      <c r="B5" s="3" t="s">
        <v>3</v>
      </c>
      <c r="C5" s="4">
        <v>8</v>
      </c>
      <c r="D5" s="2" t="s">
        <v>4</v>
      </c>
      <c r="E5" s="2" t="s">
        <v>15</v>
      </c>
      <c r="F5" s="2"/>
      <c r="G5" s="2"/>
      <c r="H5" s="2"/>
      <c r="J5" s="2" t="s">
        <v>51</v>
      </c>
    </row>
    <row r="6" spans="2:10" ht="15.75">
      <c r="B6" s="3"/>
      <c r="C6" s="4"/>
      <c r="D6" s="2" t="s">
        <v>5</v>
      </c>
      <c r="E6" s="2" t="s">
        <v>15</v>
      </c>
      <c r="F6" s="2"/>
      <c r="G6" s="2"/>
      <c r="H6" s="2"/>
      <c r="J6" t="s">
        <v>52</v>
      </c>
    </row>
    <row r="7" spans="1:11" ht="60" customHeight="1">
      <c r="A7" s="12" t="s">
        <v>31</v>
      </c>
      <c r="B7" s="154" t="s">
        <v>53</v>
      </c>
      <c r="C7" s="155"/>
      <c r="D7" s="156"/>
      <c r="E7" s="6" t="s">
        <v>6</v>
      </c>
      <c r="F7" s="6" t="s">
        <v>7</v>
      </c>
      <c r="G7" s="38" t="s">
        <v>20</v>
      </c>
      <c r="H7" s="100"/>
      <c r="I7" s="157" t="s">
        <v>54</v>
      </c>
      <c r="J7" s="158"/>
      <c r="K7" s="159"/>
    </row>
    <row r="8" spans="1:11" ht="15.75" customHeight="1">
      <c r="A8" s="13">
        <v>1</v>
      </c>
      <c r="B8" s="160"/>
      <c r="C8" s="147"/>
      <c r="D8" s="147"/>
      <c r="E8" s="147"/>
      <c r="F8" s="148"/>
      <c r="G8" s="39"/>
      <c r="H8" s="39"/>
      <c r="I8" s="40" t="s">
        <v>55</v>
      </c>
      <c r="J8" s="41" t="s">
        <v>56</v>
      </c>
      <c r="K8" s="41" t="s">
        <v>57</v>
      </c>
    </row>
    <row r="9" spans="1:11" ht="15.75" customHeight="1">
      <c r="A9" s="13"/>
      <c r="B9" s="160" t="s">
        <v>58</v>
      </c>
      <c r="C9" s="147"/>
      <c r="D9" s="147"/>
      <c r="E9" s="147"/>
      <c r="F9" s="148"/>
      <c r="G9" s="40"/>
      <c r="H9" s="40"/>
      <c r="I9" s="40"/>
      <c r="J9" s="24"/>
      <c r="K9" s="41"/>
    </row>
    <row r="10" spans="1:11" ht="15.75">
      <c r="A10" s="42"/>
      <c r="B10" s="149" t="s">
        <v>59</v>
      </c>
      <c r="C10" s="149"/>
      <c r="D10" s="149"/>
      <c r="E10" s="149"/>
      <c r="F10" s="149"/>
      <c r="G10" s="8">
        <v>10.58</v>
      </c>
      <c r="H10" s="8">
        <v>11.21</v>
      </c>
      <c r="I10" s="101">
        <f>ROUND(G10*$E$3*6,2)+ROUND(H10*$E$3*4,2)</f>
        <v>624378.15</v>
      </c>
      <c r="J10" s="28"/>
      <c r="K10" s="43">
        <f>I10+J10</f>
        <v>624378.15</v>
      </c>
    </row>
    <row r="11" spans="1:11" ht="15.75">
      <c r="A11" s="42"/>
      <c r="B11" s="149" t="s">
        <v>60</v>
      </c>
      <c r="C11" s="149"/>
      <c r="D11" s="149"/>
      <c r="E11" s="149"/>
      <c r="F11" s="149"/>
      <c r="G11" s="8">
        <v>0.76</v>
      </c>
      <c r="H11" s="8">
        <v>0.8</v>
      </c>
      <c r="I11" s="101">
        <f>ROUND(G11*$E$3*6,2)+ROUND(H11*$E$3*4,2)</f>
        <v>44730.19</v>
      </c>
      <c r="J11" s="28"/>
      <c r="K11" s="43">
        <f>I11+J11</f>
        <v>44730.19</v>
      </c>
    </row>
    <row r="12" spans="1:11" ht="15.75" customHeight="1">
      <c r="A12" s="13"/>
      <c r="B12" s="149" t="s">
        <v>61</v>
      </c>
      <c r="C12" s="149"/>
      <c r="D12" s="149"/>
      <c r="E12" s="149"/>
      <c r="F12" s="149"/>
      <c r="G12" s="8"/>
      <c r="H12" s="8"/>
      <c r="I12" s="18"/>
      <c r="J12" s="44">
        <v>0</v>
      </c>
      <c r="K12" s="43">
        <f>I12+J12</f>
        <v>0</v>
      </c>
    </row>
    <row r="13" spans="1:11" ht="15.75" customHeight="1">
      <c r="A13" s="13"/>
      <c r="B13" s="149" t="s">
        <v>62</v>
      </c>
      <c r="C13" s="149"/>
      <c r="D13" s="149"/>
      <c r="E13" s="149"/>
      <c r="F13" s="149"/>
      <c r="G13" s="8"/>
      <c r="H13" s="8"/>
      <c r="I13" s="18"/>
      <c r="J13" s="44">
        <v>0</v>
      </c>
      <c r="K13" s="43">
        <f>I13+J13</f>
        <v>0</v>
      </c>
    </row>
    <row r="14" spans="1:11" ht="15.75" customHeight="1">
      <c r="A14" s="13"/>
      <c r="B14" s="150" t="s">
        <v>63</v>
      </c>
      <c r="C14" s="150"/>
      <c r="D14" s="150"/>
      <c r="E14" s="150"/>
      <c r="F14" s="150"/>
      <c r="G14" s="8"/>
      <c r="H14" s="8"/>
      <c r="I14" s="45">
        <f>SUM(I10:I12)</f>
        <v>669108.3400000001</v>
      </c>
      <c r="J14" s="46">
        <f>SUM(J10:J12)</f>
        <v>0</v>
      </c>
      <c r="K14" s="45">
        <f>SUM(K10:K13)</f>
        <v>669108.3400000001</v>
      </c>
    </row>
    <row r="15" spans="1:11" ht="15.75" customHeight="1">
      <c r="A15" s="13">
        <v>2</v>
      </c>
      <c r="B15" s="151" t="s">
        <v>33</v>
      </c>
      <c r="C15" s="151"/>
      <c r="D15" s="151"/>
      <c r="E15" s="151"/>
      <c r="F15" s="151"/>
      <c r="G15" s="8"/>
      <c r="H15" s="8"/>
      <c r="I15" s="18"/>
      <c r="J15" s="28"/>
      <c r="K15" s="20"/>
    </row>
    <row r="16" spans="1:11" ht="18.75" customHeight="1">
      <c r="A16" s="13" t="s">
        <v>48</v>
      </c>
      <c r="B16" s="10" t="s">
        <v>34</v>
      </c>
      <c r="C16" s="10"/>
      <c r="D16" s="10"/>
      <c r="E16" s="10"/>
      <c r="F16" s="5"/>
      <c r="G16" s="47"/>
      <c r="H16" s="47"/>
      <c r="I16" s="47"/>
      <c r="J16" s="37"/>
      <c r="K16" s="41"/>
    </row>
    <row r="17" spans="1:11" ht="31.5">
      <c r="A17" s="48"/>
      <c r="B17" s="152" t="s">
        <v>64</v>
      </c>
      <c r="C17" s="152"/>
      <c r="D17" s="152"/>
      <c r="E17" s="49" t="s">
        <v>28</v>
      </c>
      <c r="F17" s="30" t="s">
        <v>22</v>
      </c>
      <c r="G17" s="31">
        <v>1.06</v>
      </c>
      <c r="H17" s="31">
        <v>1.12</v>
      </c>
      <c r="I17" s="101">
        <f>ROUND(G17*$E$3*6,2)+ROUND(H17*$E$3*4,2)</f>
        <v>62483.92999999999</v>
      </c>
      <c r="J17" s="51">
        <f>$J$12*0.08</f>
        <v>0</v>
      </c>
      <c r="K17" s="52">
        <f>SUM(I17:J17)</f>
        <v>62483.92999999999</v>
      </c>
    </row>
    <row r="18" spans="1:11" ht="15.75" customHeight="1">
      <c r="A18" s="13"/>
      <c r="B18" s="153" t="s">
        <v>16</v>
      </c>
      <c r="C18" s="153"/>
      <c r="D18" s="153"/>
      <c r="E18" s="49" t="s">
        <v>28</v>
      </c>
      <c r="F18" s="30" t="s">
        <v>17</v>
      </c>
      <c r="G18" s="31">
        <v>0.28</v>
      </c>
      <c r="H18" s="31">
        <v>0.3</v>
      </c>
      <c r="I18" s="101">
        <f>ROUND(G18*$E$3*6,2)+ROUND(H18*$E$3*4,2)</f>
        <v>16600.9</v>
      </c>
      <c r="J18" s="51">
        <f>$J$12*0.02</f>
        <v>0</v>
      </c>
      <c r="K18" s="52">
        <f>SUM(I18:J18)</f>
        <v>16600.9</v>
      </c>
    </row>
    <row r="19" spans="1:11" ht="15.75" customHeight="1">
      <c r="A19" s="13"/>
      <c r="B19" s="145" t="s">
        <v>21</v>
      </c>
      <c r="C19" s="145"/>
      <c r="D19" s="145"/>
      <c r="E19" s="53" t="s">
        <v>65</v>
      </c>
      <c r="F19" s="32" t="s">
        <v>18</v>
      </c>
      <c r="G19" s="31">
        <v>0.39</v>
      </c>
      <c r="H19" s="31">
        <v>0.41</v>
      </c>
      <c r="I19" s="50">
        <f>K19-J19</f>
        <v>24563.7</v>
      </c>
      <c r="J19" s="51">
        <f>$J$12*0.07</f>
        <v>0</v>
      </c>
      <c r="K19" s="102">
        <v>24563.7</v>
      </c>
    </row>
    <row r="20" spans="1:11" ht="33" customHeight="1">
      <c r="A20" s="48"/>
      <c r="B20" s="152" t="s">
        <v>27</v>
      </c>
      <c r="C20" s="152"/>
      <c r="D20" s="152"/>
      <c r="E20" s="55" t="s">
        <v>8</v>
      </c>
      <c r="F20" s="33" t="s">
        <v>9</v>
      </c>
      <c r="G20" s="31">
        <v>0.51</v>
      </c>
      <c r="H20" s="31">
        <v>0.54</v>
      </c>
      <c r="I20" s="101">
        <f>ROUND(G20*$E$3*6,2)+ROUND(H20*$E$3*4,2)</f>
        <v>30089.120000000003</v>
      </c>
      <c r="J20" s="51">
        <f>$J$12*0.04</f>
        <v>0</v>
      </c>
      <c r="K20" s="52">
        <f>SUM(I20:J20)</f>
        <v>30089.120000000003</v>
      </c>
    </row>
    <row r="21" spans="1:11" ht="38.25">
      <c r="A21" s="13"/>
      <c r="B21" s="145" t="s">
        <v>25</v>
      </c>
      <c r="C21" s="145"/>
      <c r="D21" s="145"/>
      <c r="E21" s="53" t="s">
        <v>66</v>
      </c>
      <c r="F21" s="32" t="s">
        <v>23</v>
      </c>
      <c r="G21" s="31">
        <v>0.12</v>
      </c>
      <c r="H21" s="31">
        <v>0.13</v>
      </c>
      <c r="I21" s="50">
        <f>K21-J21</f>
        <v>2611.4</v>
      </c>
      <c r="J21" s="51">
        <f>$J$12*0.01</f>
        <v>0</v>
      </c>
      <c r="K21" s="102">
        <v>2611.4</v>
      </c>
    </row>
    <row r="22" spans="1:11" ht="31.5">
      <c r="A22" s="48"/>
      <c r="B22" s="145" t="s">
        <v>10</v>
      </c>
      <c r="C22" s="145"/>
      <c r="D22" s="145"/>
      <c r="E22" s="53" t="s">
        <v>8</v>
      </c>
      <c r="F22" s="32" t="s">
        <v>11</v>
      </c>
      <c r="G22" s="31">
        <v>0</v>
      </c>
      <c r="H22" s="31">
        <v>0</v>
      </c>
      <c r="I22" s="50">
        <f>K22-J22</f>
        <v>0</v>
      </c>
      <c r="J22" s="51">
        <f>$J$12*0.15</f>
        <v>0</v>
      </c>
      <c r="K22" s="54">
        <f>G22*E3*12</f>
        <v>0</v>
      </c>
    </row>
    <row r="23" spans="1:11" ht="15.75" customHeight="1">
      <c r="A23" s="48"/>
      <c r="B23" s="145" t="s">
        <v>24</v>
      </c>
      <c r="C23" s="163"/>
      <c r="D23" s="163"/>
      <c r="E23" s="56" t="s">
        <v>12</v>
      </c>
      <c r="F23" s="29" t="s">
        <v>13</v>
      </c>
      <c r="G23" s="31">
        <v>0.05</v>
      </c>
      <c r="H23" s="31">
        <v>0.05</v>
      </c>
      <c r="I23" s="50">
        <f>K23-J23</f>
        <v>16424.42</v>
      </c>
      <c r="J23" s="51">
        <f>$J$12*0.003</f>
        <v>0</v>
      </c>
      <c r="K23" s="102">
        <v>16424.42</v>
      </c>
    </row>
    <row r="24" spans="1:11" ht="36.75" customHeight="1">
      <c r="A24" s="13"/>
      <c r="B24" s="145" t="s">
        <v>67</v>
      </c>
      <c r="C24" s="145"/>
      <c r="D24" s="145"/>
      <c r="E24" s="49" t="s">
        <v>29</v>
      </c>
      <c r="F24" s="57" t="s">
        <v>68</v>
      </c>
      <c r="G24" s="31">
        <v>2.15</v>
      </c>
      <c r="H24" s="31">
        <v>2.28</v>
      </c>
      <c r="I24" s="101">
        <f aca="true" t="shared" si="0" ref="I24:I29">ROUND(G24*$E$3*6,2)+ROUND(H24*$E$3*4,2)</f>
        <v>126927.68</v>
      </c>
      <c r="J24" s="51">
        <f>$J$12*0.19</f>
        <v>0</v>
      </c>
      <c r="K24" s="52">
        <f aca="true" t="shared" si="1" ref="K24:K29">SUM(I24:J24)</f>
        <v>126927.68</v>
      </c>
    </row>
    <row r="25" spans="1:11" ht="25.5">
      <c r="A25" s="13"/>
      <c r="B25" s="153" t="s">
        <v>14</v>
      </c>
      <c r="C25" s="153"/>
      <c r="D25" s="153"/>
      <c r="E25" s="49" t="s">
        <v>29</v>
      </c>
      <c r="F25" s="57" t="s">
        <v>68</v>
      </c>
      <c r="G25" s="31">
        <v>0.44</v>
      </c>
      <c r="H25" s="31">
        <v>0.47</v>
      </c>
      <c r="I25" s="101">
        <f t="shared" si="0"/>
        <v>26054.190000000002</v>
      </c>
      <c r="J25" s="51">
        <v>0</v>
      </c>
      <c r="K25" s="52">
        <f t="shared" si="1"/>
        <v>26054.190000000002</v>
      </c>
    </row>
    <row r="26" spans="1:11" ht="31.5" customHeight="1">
      <c r="A26" s="13"/>
      <c r="B26" s="164" t="s">
        <v>30</v>
      </c>
      <c r="C26" s="165"/>
      <c r="D26" s="166"/>
      <c r="E26" s="49" t="s">
        <v>29</v>
      </c>
      <c r="F26" s="57" t="s">
        <v>68</v>
      </c>
      <c r="G26" s="59">
        <f>3.46-G27-G28</f>
        <v>3.46</v>
      </c>
      <c r="H26" s="59">
        <f>3.67-H27-H28</f>
        <v>3.36</v>
      </c>
      <c r="I26" s="101">
        <f t="shared" si="0"/>
        <v>197135.64</v>
      </c>
      <c r="J26" s="60">
        <f>$J$12*0.18</f>
        <v>0</v>
      </c>
      <c r="K26" s="52">
        <f t="shared" si="1"/>
        <v>197135.64</v>
      </c>
    </row>
    <row r="27" spans="1:11" ht="31.5" customHeight="1">
      <c r="A27" s="48"/>
      <c r="B27" s="145" t="s">
        <v>69</v>
      </c>
      <c r="C27" s="145"/>
      <c r="D27" s="145"/>
      <c r="E27" s="49" t="s">
        <v>29</v>
      </c>
      <c r="F27" s="57" t="s">
        <v>68</v>
      </c>
      <c r="G27" s="59">
        <v>0</v>
      </c>
      <c r="H27" s="59">
        <v>0.31</v>
      </c>
      <c r="I27" s="101">
        <f t="shared" si="0"/>
        <v>7147.61</v>
      </c>
      <c r="J27" s="60">
        <f>$J$12*0.02</f>
        <v>0</v>
      </c>
      <c r="K27" s="52">
        <f t="shared" si="1"/>
        <v>7147.61</v>
      </c>
    </row>
    <row r="28" spans="1:11" ht="15.75">
      <c r="A28" s="13"/>
      <c r="B28" s="145" t="s">
        <v>70</v>
      </c>
      <c r="C28" s="145"/>
      <c r="D28" s="145"/>
      <c r="E28" s="53" t="s">
        <v>8</v>
      </c>
      <c r="F28" s="57" t="s">
        <v>68</v>
      </c>
      <c r="G28" s="59">
        <v>0</v>
      </c>
      <c r="H28" s="59">
        <v>0</v>
      </c>
      <c r="I28" s="101">
        <f t="shared" si="0"/>
        <v>0</v>
      </c>
      <c r="J28" s="60">
        <f>$J$12*0.02</f>
        <v>0</v>
      </c>
      <c r="K28" s="52">
        <f t="shared" si="1"/>
        <v>0</v>
      </c>
    </row>
    <row r="29" spans="1:11" ht="25.5">
      <c r="A29" s="13"/>
      <c r="B29" s="163" t="s">
        <v>19</v>
      </c>
      <c r="C29" s="163"/>
      <c r="D29" s="163"/>
      <c r="E29" s="53" t="s">
        <v>29</v>
      </c>
      <c r="F29" s="57" t="s">
        <v>68</v>
      </c>
      <c r="G29" s="29">
        <v>1.06</v>
      </c>
      <c r="H29" s="29">
        <v>1.12</v>
      </c>
      <c r="I29" s="101">
        <f t="shared" si="0"/>
        <v>62483.92999999999</v>
      </c>
      <c r="J29" s="51">
        <f>$J$12*0.1</f>
        <v>0</v>
      </c>
      <c r="K29" s="52">
        <f t="shared" si="1"/>
        <v>62483.92999999999</v>
      </c>
    </row>
    <row r="30" spans="1:11" ht="15.75" customHeight="1">
      <c r="A30" s="13"/>
      <c r="B30" s="172"/>
      <c r="C30" s="173"/>
      <c r="D30" s="174"/>
      <c r="E30" s="53"/>
      <c r="F30" s="57"/>
      <c r="G30" s="29"/>
      <c r="H30" s="29"/>
      <c r="I30" s="58"/>
      <c r="J30" s="44"/>
      <c r="K30" s="61"/>
    </row>
    <row r="31" spans="1:11" ht="15.75">
      <c r="A31" s="13"/>
      <c r="B31" s="172"/>
      <c r="C31" s="173"/>
      <c r="D31" s="174"/>
      <c r="E31" s="53"/>
      <c r="F31" s="57"/>
      <c r="G31" s="29"/>
      <c r="H31" s="29"/>
      <c r="I31" s="58"/>
      <c r="J31" s="44"/>
      <c r="K31" s="61"/>
    </row>
    <row r="32" spans="1:11" ht="15.75">
      <c r="A32" s="13"/>
      <c r="B32" s="146" t="s">
        <v>26</v>
      </c>
      <c r="C32" s="146"/>
      <c r="D32" s="146"/>
      <c r="E32" s="7"/>
      <c r="F32" s="57"/>
      <c r="G32" s="11">
        <f>SUM(G17:G29)</f>
        <v>9.520000000000001</v>
      </c>
      <c r="H32" s="11">
        <f>SUM(H17:H29)</f>
        <v>10.09</v>
      </c>
      <c r="I32" s="62">
        <f>SUM(I17:I31)</f>
        <v>572522.52</v>
      </c>
      <c r="J32" s="63">
        <f>SUM(J17:J31)</f>
        <v>0</v>
      </c>
      <c r="K32" s="62">
        <f>SUM(K17:K31)</f>
        <v>572522.52</v>
      </c>
    </row>
    <row r="33" spans="1:11" ht="15.75">
      <c r="A33" s="13"/>
      <c r="B33" s="168" t="s">
        <v>71</v>
      </c>
      <c r="C33" s="165"/>
      <c r="D33" s="166"/>
      <c r="E33" s="53" t="s">
        <v>8</v>
      </c>
      <c r="F33" s="57"/>
      <c r="G33" s="29"/>
      <c r="H33" s="29"/>
      <c r="I33" s="58"/>
      <c r="J33" s="44"/>
      <c r="K33" s="61"/>
    </row>
    <row r="34" spans="1:11" ht="25.5">
      <c r="A34" s="13"/>
      <c r="B34" s="168" t="s">
        <v>72</v>
      </c>
      <c r="C34" s="165"/>
      <c r="D34" s="166"/>
      <c r="E34" s="49" t="s">
        <v>29</v>
      </c>
      <c r="F34" s="57"/>
      <c r="G34" s="29"/>
      <c r="H34" s="29"/>
      <c r="I34" s="58"/>
      <c r="J34" s="44"/>
      <c r="K34" s="61"/>
    </row>
    <row r="35" spans="1:11" ht="15.75">
      <c r="A35" s="13"/>
      <c r="B35" s="78"/>
      <c r="C35" s="79"/>
      <c r="D35" s="79"/>
      <c r="E35" s="80"/>
      <c r="F35" s="57"/>
      <c r="G35" s="11"/>
      <c r="H35" s="11"/>
      <c r="I35" s="62"/>
      <c r="J35" s="63"/>
      <c r="K35" s="62"/>
    </row>
    <row r="36" spans="1:11" ht="15.75" customHeight="1">
      <c r="A36" s="13" t="s">
        <v>73</v>
      </c>
      <c r="B36" s="128" t="s">
        <v>74</v>
      </c>
      <c r="C36" s="161"/>
      <c r="D36" s="161"/>
      <c r="E36" s="162"/>
      <c r="F36" s="57" t="s">
        <v>68</v>
      </c>
      <c r="G36" s="14">
        <f>I36/E3/12</f>
        <v>0</v>
      </c>
      <c r="H36" s="14"/>
      <c r="I36" s="64"/>
      <c r="J36" s="65">
        <v>0</v>
      </c>
      <c r="K36" s="45">
        <f>SUM(I36:J36)</f>
        <v>0</v>
      </c>
    </row>
    <row r="37" spans="1:11" ht="15.75" customHeight="1">
      <c r="A37" s="15"/>
      <c r="B37" s="178" t="s">
        <v>35</v>
      </c>
      <c r="C37" s="178"/>
      <c r="D37" s="178"/>
      <c r="E37" s="178"/>
      <c r="F37" s="178"/>
      <c r="G37" s="11">
        <f>SUM(G32:G36)</f>
        <v>9.520000000000001</v>
      </c>
      <c r="H37" s="11">
        <f>SUM(H32:H36)</f>
        <v>10.09</v>
      </c>
      <c r="I37" s="66">
        <f>SUM(I32:I36)</f>
        <v>572522.52</v>
      </c>
      <c r="J37" s="66">
        <f>SUM(J32:J36)</f>
        <v>0</v>
      </c>
      <c r="K37" s="67">
        <f>SUM(K32:K36)</f>
        <v>572522.52</v>
      </c>
    </row>
    <row r="38" spans="1:11" ht="15.75" customHeight="1">
      <c r="A38" s="13" t="s">
        <v>50</v>
      </c>
      <c r="B38" s="177" t="s">
        <v>75</v>
      </c>
      <c r="C38" s="177"/>
      <c r="D38" s="177"/>
      <c r="E38" s="177"/>
      <c r="F38" s="177"/>
      <c r="G38" s="14"/>
      <c r="H38" s="14"/>
      <c r="I38" s="68">
        <v>0</v>
      </c>
      <c r="J38" s="68">
        <v>0</v>
      </c>
      <c r="K38" s="69">
        <f>SUM(I38:J38)</f>
        <v>0</v>
      </c>
    </row>
    <row r="39" spans="1:11" ht="19.5" customHeight="1">
      <c r="A39" s="15"/>
      <c r="B39" s="178" t="s">
        <v>76</v>
      </c>
      <c r="C39" s="178"/>
      <c r="D39" s="178"/>
      <c r="E39" s="178"/>
      <c r="F39" s="178"/>
      <c r="G39" s="11">
        <f>SUM(G37:G38)</f>
        <v>9.520000000000001</v>
      </c>
      <c r="H39" s="11">
        <f>SUM(H37:H38)</f>
        <v>10.09</v>
      </c>
      <c r="I39" s="66">
        <f>SUM(I37:I38)</f>
        <v>572522.52</v>
      </c>
      <c r="J39" s="66">
        <f>SUM(J37:J38)</f>
        <v>0</v>
      </c>
      <c r="K39" s="67">
        <f>SUM(K37:K38)</f>
        <v>572522.52</v>
      </c>
    </row>
    <row r="40" spans="1:11" ht="15.75">
      <c r="A40" s="13">
        <v>3</v>
      </c>
      <c r="B40" s="164" t="s">
        <v>108</v>
      </c>
      <c r="C40" s="169"/>
      <c r="D40" s="169"/>
      <c r="E40" s="169"/>
      <c r="F40" s="169"/>
      <c r="G40" s="170"/>
      <c r="H40" s="99"/>
      <c r="I40" s="50">
        <f>I14-I39</f>
        <v>96585.82000000007</v>
      </c>
      <c r="J40" s="50">
        <f>J14-J39</f>
        <v>0</v>
      </c>
      <c r="K40" s="70">
        <f>K14-K39</f>
        <v>96585.82000000007</v>
      </c>
    </row>
    <row r="41" spans="2:6" ht="15.75">
      <c r="B41" s="19"/>
      <c r="F41" s="19"/>
    </row>
    <row r="42" spans="2:10" ht="15.75">
      <c r="B42" s="19" t="s">
        <v>32</v>
      </c>
      <c r="F42" s="19"/>
      <c r="I42" s="171" t="s">
        <v>37</v>
      </c>
      <c r="J42" s="171"/>
    </row>
    <row r="43" spans="2:10" ht="15.75">
      <c r="B43" s="19" t="s">
        <v>41</v>
      </c>
      <c r="C43" s="19"/>
      <c r="D43" s="19"/>
      <c r="E43" s="19"/>
      <c r="F43" s="19"/>
      <c r="I43" s="19"/>
      <c r="J43" s="19"/>
    </row>
    <row r="44" ht="15.75">
      <c r="B44" t="s">
        <v>38</v>
      </c>
    </row>
    <row r="45" spans="2:4" ht="15.75">
      <c r="B45" s="167"/>
      <c r="C45" s="167"/>
      <c r="D45" s="167"/>
    </row>
  </sheetData>
  <mergeCells count="37">
    <mergeCell ref="B45:D45"/>
    <mergeCell ref="B38:F38"/>
    <mergeCell ref="B39:F39"/>
    <mergeCell ref="B40:G40"/>
    <mergeCell ref="I42:J42"/>
    <mergeCell ref="B33:D33"/>
    <mergeCell ref="B34:D34"/>
    <mergeCell ref="B36:E36"/>
    <mergeCell ref="B37:F37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7">
      <selection activeCell="E8" sqref="E8:E9"/>
    </sheetView>
  </sheetViews>
  <sheetFormatPr defaultColWidth="9.00390625" defaultRowHeight="15.75"/>
  <cols>
    <col min="1" max="1" width="6.00390625" style="0" customWidth="1"/>
    <col min="2" max="2" width="27.00390625" style="0" customWidth="1"/>
    <col min="3" max="3" width="2.375" style="0" customWidth="1"/>
    <col min="4" max="4" width="14.50390625" style="0" customWidth="1"/>
    <col min="5" max="5" width="17.125" style="0" customWidth="1"/>
    <col min="6" max="6" width="17.75390625" style="0" hidden="1" customWidth="1"/>
    <col min="7" max="7" width="12.875" style="0" customWidth="1"/>
    <col min="8" max="8" width="13.00390625" style="0" customWidth="1"/>
  </cols>
  <sheetData>
    <row r="1" spans="4:8" ht="69.75" customHeight="1">
      <c r="D1" s="198" t="s">
        <v>118</v>
      </c>
      <c r="E1" s="198"/>
      <c r="F1" s="198"/>
      <c r="G1" s="198"/>
      <c r="H1" s="198"/>
    </row>
    <row r="4" spans="1:8" ht="19.5">
      <c r="A4" s="175" t="s">
        <v>119</v>
      </c>
      <c r="B4" s="175"/>
      <c r="C4" s="175"/>
      <c r="D4" s="175"/>
      <c r="E4" s="175"/>
      <c r="F4" s="175"/>
      <c r="G4" s="175"/>
      <c r="H4" s="175"/>
    </row>
    <row r="5" spans="1:7" ht="19.5">
      <c r="A5" s="87"/>
      <c r="B5" s="87"/>
      <c r="C5" s="87"/>
      <c r="D5" s="87"/>
      <c r="E5" s="87"/>
      <c r="F5" s="87"/>
      <c r="G5" s="87"/>
    </row>
    <row r="6" spans="1:7" ht="19.5" customHeight="1">
      <c r="A6" s="87"/>
      <c r="B6" s="202" t="s">
        <v>133</v>
      </c>
      <c r="C6" s="202"/>
      <c r="D6" s="202"/>
      <c r="E6" s="202"/>
      <c r="F6" s="202"/>
      <c r="G6" s="202"/>
    </row>
    <row r="7" spans="1:7" ht="19.5">
      <c r="A7" s="87"/>
      <c r="B7" s="104"/>
      <c r="C7" s="104"/>
      <c r="D7" s="104"/>
      <c r="E7" s="104"/>
      <c r="F7" s="87"/>
      <c r="G7" s="87"/>
    </row>
    <row r="8" spans="1:6" ht="18.75">
      <c r="A8" t="s">
        <v>40</v>
      </c>
      <c r="B8" s="1" t="s">
        <v>39</v>
      </c>
      <c r="C8" s="2"/>
      <c r="D8" s="2" t="s">
        <v>0</v>
      </c>
      <c r="E8" s="16">
        <v>5765.1</v>
      </c>
      <c r="F8" s="2"/>
    </row>
    <row r="9" spans="2:6" ht="15.75">
      <c r="B9" s="3" t="s">
        <v>1</v>
      </c>
      <c r="C9" s="21">
        <v>5</v>
      </c>
      <c r="D9" s="2" t="s">
        <v>2</v>
      </c>
      <c r="E9" s="17">
        <v>119</v>
      </c>
      <c r="F9" s="2"/>
    </row>
    <row r="10" spans="2:7" ht="15.75">
      <c r="B10" s="3" t="s">
        <v>3</v>
      </c>
      <c r="C10" s="4">
        <v>8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26" t="s">
        <v>31</v>
      </c>
      <c r="B12" s="194" t="s">
        <v>53</v>
      </c>
      <c r="C12" s="195"/>
      <c r="D12" s="196"/>
      <c r="E12" s="22" t="s">
        <v>6</v>
      </c>
      <c r="F12" s="22" t="s">
        <v>7</v>
      </c>
      <c r="G12" s="92" t="s">
        <v>127</v>
      </c>
      <c r="H12" s="93" t="s">
        <v>128</v>
      </c>
    </row>
    <row r="13" spans="1:8" ht="25.5">
      <c r="A13" s="88">
        <v>1</v>
      </c>
      <c r="B13" s="154">
        <v>2</v>
      </c>
      <c r="C13" s="155"/>
      <c r="D13" s="156"/>
      <c r="E13" s="89">
        <v>3</v>
      </c>
      <c r="F13" s="89"/>
      <c r="G13" s="90">
        <v>4</v>
      </c>
      <c r="H13" s="91" t="s">
        <v>129</v>
      </c>
    </row>
    <row r="14" spans="1:8" ht="15.75" customHeight="1" hidden="1">
      <c r="A14" s="27">
        <v>1</v>
      </c>
      <c r="B14" s="197" t="s">
        <v>46</v>
      </c>
      <c r="C14" s="197"/>
      <c r="D14" s="197"/>
      <c r="E14" s="197"/>
      <c r="F14" s="197"/>
      <c r="G14" s="28"/>
      <c r="H14" s="73"/>
    </row>
    <row r="15" spans="1:8" ht="33.75" customHeight="1" hidden="1">
      <c r="A15" s="27"/>
      <c r="B15" s="150" t="s">
        <v>101</v>
      </c>
      <c r="C15" s="150"/>
      <c r="D15" s="150"/>
      <c r="E15" s="150"/>
      <c r="F15" s="150"/>
      <c r="G15" s="14">
        <f>G36</f>
        <v>10.740000000000002</v>
      </c>
      <c r="H15" s="73">
        <f>ROUND($E$8*G15*12,0)</f>
        <v>743006</v>
      </c>
    </row>
    <row r="16" spans="1:8" ht="15.75" customHeight="1" hidden="1">
      <c r="A16" s="27"/>
      <c r="B16" s="193" t="s">
        <v>47</v>
      </c>
      <c r="C16" s="193"/>
      <c r="D16" s="193"/>
      <c r="E16" s="193"/>
      <c r="F16" s="193"/>
      <c r="G16" s="13">
        <v>0.78</v>
      </c>
      <c r="H16" s="73">
        <f>ROUND($E$8*G16*12,0)</f>
        <v>53961</v>
      </c>
    </row>
    <row r="17" spans="1:8" ht="18.75" customHeight="1">
      <c r="A17" s="27" t="s">
        <v>42</v>
      </c>
      <c r="B17" s="151" t="s">
        <v>33</v>
      </c>
      <c r="C17" s="151"/>
      <c r="D17" s="151"/>
      <c r="E17" s="151"/>
      <c r="F17" s="151"/>
      <c r="G17" s="29"/>
      <c r="H17" s="73"/>
    </row>
    <row r="18" spans="1:8" ht="15.75" customHeight="1">
      <c r="A18" s="27" t="s">
        <v>120</v>
      </c>
      <c r="B18" s="10" t="s">
        <v>34</v>
      </c>
      <c r="C18" s="10"/>
      <c r="D18" s="10"/>
      <c r="E18" s="10"/>
      <c r="F18" s="5"/>
      <c r="G18" s="40"/>
      <c r="H18" s="73"/>
    </row>
    <row r="19" spans="1:8" ht="31.5" customHeight="1">
      <c r="A19" s="74"/>
      <c r="B19" s="191" t="s">
        <v>102</v>
      </c>
      <c r="C19" s="191"/>
      <c r="D19" s="191"/>
      <c r="E19" s="49" t="s">
        <v>28</v>
      </c>
      <c r="F19" s="30" t="s">
        <v>22</v>
      </c>
      <c r="G19" s="31">
        <v>1.12</v>
      </c>
      <c r="H19" s="25">
        <f>ROUND($E$8*G19*2,0)</f>
        <v>12914</v>
      </c>
    </row>
    <row r="20" spans="1:8" ht="15.75">
      <c r="A20" s="74"/>
      <c r="B20" s="191" t="s">
        <v>16</v>
      </c>
      <c r="C20" s="191"/>
      <c r="D20" s="191"/>
      <c r="E20" s="49" t="s">
        <v>28</v>
      </c>
      <c r="F20" s="30" t="s">
        <v>17</v>
      </c>
      <c r="G20" s="31">
        <v>0.3</v>
      </c>
      <c r="H20" s="25">
        <f aca="true" t="shared" si="0" ref="H20:H37">ROUND($E$8*G20*2,0)</f>
        <v>3459</v>
      </c>
    </row>
    <row r="21" spans="1:8" ht="15.75" customHeight="1">
      <c r="A21" s="74"/>
      <c r="B21" s="189" t="s">
        <v>21</v>
      </c>
      <c r="C21" s="189"/>
      <c r="D21" s="189"/>
      <c r="E21" s="53" t="s">
        <v>65</v>
      </c>
      <c r="F21" s="32" t="s">
        <v>18</v>
      </c>
      <c r="G21" s="31">
        <v>0.41</v>
      </c>
      <c r="H21" s="25">
        <f t="shared" si="0"/>
        <v>4727</v>
      </c>
    </row>
    <row r="22" spans="1:8" ht="17.25" customHeight="1">
      <c r="A22" s="74"/>
      <c r="B22" s="192" t="s">
        <v>27</v>
      </c>
      <c r="C22" s="192"/>
      <c r="D22" s="192"/>
      <c r="E22" s="55" t="s">
        <v>8</v>
      </c>
      <c r="F22" s="33" t="s">
        <v>9</v>
      </c>
      <c r="G22" s="31">
        <v>0.54</v>
      </c>
      <c r="H22" s="25">
        <f t="shared" si="0"/>
        <v>6226</v>
      </c>
    </row>
    <row r="23" spans="1:8" ht="51">
      <c r="A23" s="74"/>
      <c r="B23" s="189" t="s">
        <v>25</v>
      </c>
      <c r="C23" s="189"/>
      <c r="D23" s="189"/>
      <c r="E23" s="53" t="s">
        <v>66</v>
      </c>
      <c r="F23" s="32" t="s">
        <v>23</v>
      </c>
      <c r="G23" s="31">
        <v>0.13</v>
      </c>
      <c r="H23" s="25">
        <f t="shared" si="0"/>
        <v>1499</v>
      </c>
    </row>
    <row r="24" spans="1:8" ht="31.5" customHeight="1">
      <c r="A24" s="74"/>
      <c r="B24" s="189" t="s">
        <v>10</v>
      </c>
      <c r="C24" s="189"/>
      <c r="D24" s="189"/>
      <c r="E24" s="53" t="s">
        <v>8</v>
      </c>
      <c r="F24" s="32" t="s">
        <v>11</v>
      </c>
      <c r="G24" s="94">
        <v>0</v>
      </c>
      <c r="H24" s="25">
        <f t="shared" si="0"/>
        <v>0</v>
      </c>
    </row>
    <row r="25" spans="1:8" ht="27.75" customHeight="1">
      <c r="A25" s="74"/>
      <c r="B25" s="189" t="s">
        <v>24</v>
      </c>
      <c r="C25" s="190"/>
      <c r="D25" s="190"/>
      <c r="E25" s="56" t="s">
        <v>12</v>
      </c>
      <c r="F25" s="29" t="s">
        <v>103</v>
      </c>
      <c r="G25" s="31">
        <v>0.05</v>
      </c>
      <c r="H25" s="25">
        <f t="shared" si="0"/>
        <v>577</v>
      </c>
    </row>
    <row r="26" spans="1:8" ht="51">
      <c r="A26" s="74"/>
      <c r="B26" s="189" t="s">
        <v>67</v>
      </c>
      <c r="C26" s="189"/>
      <c r="D26" s="189"/>
      <c r="E26" s="49" t="s">
        <v>130</v>
      </c>
      <c r="F26" s="32" t="s">
        <v>36</v>
      </c>
      <c r="G26" s="31">
        <v>1.63</v>
      </c>
      <c r="H26" s="25">
        <f t="shared" si="0"/>
        <v>18794</v>
      </c>
    </row>
    <row r="27" spans="1:8" ht="51.75" customHeight="1">
      <c r="A27" s="74"/>
      <c r="B27" s="191" t="s">
        <v>14</v>
      </c>
      <c r="C27" s="191"/>
      <c r="D27" s="191"/>
      <c r="E27" s="49" t="s">
        <v>49</v>
      </c>
      <c r="F27" s="32" t="s">
        <v>36</v>
      </c>
      <c r="G27" s="94">
        <v>0</v>
      </c>
      <c r="H27" s="25">
        <f t="shared" si="0"/>
        <v>0</v>
      </c>
    </row>
    <row r="28" spans="1:8" ht="31.5" customHeight="1">
      <c r="A28" s="74"/>
      <c r="B28" s="189" t="s">
        <v>30</v>
      </c>
      <c r="C28" s="190"/>
      <c r="D28" s="190"/>
      <c r="E28" s="49" t="s">
        <v>29</v>
      </c>
      <c r="F28" s="32" t="s">
        <v>36</v>
      </c>
      <c r="G28" s="31">
        <f>4.32-G29-G30</f>
        <v>4.32</v>
      </c>
      <c r="H28" s="25">
        <f t="shared" si="0"/>
        <v>49810</v>
      </c>
    </row>
    <row r="29" spans="1:8" ht="15" customHeight="1">
      <c r="A29" s="74"/>
      <c r="B29" s="189" t="s">
        <v>104</v>
      </c>
      <c r="C29" s="189"/>
      <c r="D29" s="189"/>
      <c r="E29" s="53" t="s">
        <v>8</v>
      </c>
      <c r="F29" s="32" t="s">
        <v>36</v>
      </c>
      <c r="G29" s="94">
        <v>0</v>
      </c>
      <c r="H29" s="25">
        <f t="shared" si="0"/>
        <v>0</v>
      </c>
    </row>
    <row r="30" spans="1:8" ht="15.75" customHeight="1">
      <c r="A30" s="74"/>
      <c r="B30" s="189" t="s">
        <v>70</v>
      </c>
      <c r="C30" s="189"/>
      <c r="D30" s="189"/>
      <c r="E30" s="53" t="s">
        <v>8</v>
      </c>
      <c r="F30" s="32" t="s">
        <v>36</v>
      </c>
      <c r="G30" s="94">
        <v>0</v>
      </c>
      <c r="H30" s="25">
        <f t="shared" si="0"/>
        <v>0</v>
      </c>
    </row>
    <row r="31" spans="1:8" ht="25.5">
      <c r="A31" s="74"/>
      <c r="B31" s="190" t="s">
        <v>19</v>
      </c>
      <c r="C31" s="190"/>
      <c r="D31" s="190"/>
      <c r="E31" s="49" t="s">
        <v>29</v>
      </c>
      <c r="F31" s="32" t="s">
        <v>36</v>
      </c>
      <c r="G31" s="31">
        <v>1.12</v>
      </c>
      <c r="H31" s="25">
        <f t="shared" si="0"/>
        <v>12914</v>
      </c>
    </row>
    <row r="32" spans="1:8" ht="15.75" hidden="1">
      <c r="A32" s="74"/>
      <c r="B32" s="168" t="s">
        <v>71</v>
      </c>
      <c r="C32" s="165"/>
      <c r="D32" s="166"/>
      <c r="E32" s="53" t="s">
        <v>8</v>
      </c>
      <c r="F32" s="32"/>
      <c r="G32" s="31"/>
      <c r="H32" s="25">
        <f t="shared" si="0"/>
        <v>0</v>
      </c>
    </row>
    <row r="33" spans="1:8" ht="15.75" hidden="1">
      <c r="A33" s="74"/>
      <c r="B33" s="168" t="s">
        <v>72</v>
      </c>
      <c r="C33" s="165"/>
      <c r="D33" s="166"/>
      <c r="E33" s="49"/>
      <c r="F33" s="32"/>
      <c r="G33" s="31"/>
      <c r="H33" s="25">
        <f t="shared" si="0"/>
        <v>0</v>
      </c>
    </row>
    <row r="34" spans="1:8" ht="15.75">
      <c r="A34" s="74"/>
      <c r="B34" s="186" t="s">
        <v>26</v>
      </c>
      <c r="C34" s="187"/>
      <c r="D34" s="188"/>
      <c r="E34" s="7"/>
      <c r="F34" s="32"/>
      <c r="G34" s="11">
        <f>SUM(G19:G33)</f>
        <v>9.620000000000001</v>
      </c>
      <c r="H34" s="25">
        <f t="shared" si="0"/>
        <v>110921</v>
      </c>
    </row>
    <row r="35" spans="1:8" ht="15.75">
      <c r="A35" s="27" t="s">
        <v>121</v>
      </c>
      <c r="B35" s="128" t="s">
        <v>125</v>
      </c>
      <c r="C35" s="161"/>
      <c r="D35" s="161"/>
      <c r="E35" s="97" t="s">
        <v>115</v>
      </c>
      <c r="F35" s="32" t="s">
        <v>36</v>
      </c>
      <c r="G35" s="14">
        <v>1.12</v>
      </c>
      <c r="H35" s="25">
        <f t="shared" si="0"/>
        <v>12914</v>
      </c>
    </row>
    <row r="36" spans="1:8" ht="15.75">
      <c r="A36" s="27" t="s">
        <v>122</v>
      </c>
      <c r="B36" s="179" t="s">
        <v>105</v>
      </c>
      <c r="C36" s="179"/>
      <c r="D36" s="179"/>
      <c r="E36" s="199"/>
      <c r="F36" s="179"/>
      <c r="G36" s="11">
        <f>SUM(G34:G35)</f>
        <v>10.740000000000002</v>
      </c>
      <c r="H36" s="25">
        <f t="shared" si="0"/>
        <v>123834</v>
      </c>
    </row>
    <row r="37" spans="1:8" ht="16.5" thickBot="1">
      <c r="A37" s="76" t="s">
        <v>43</v>
      </c>
      <c r="B37" s="180" t="s">
        <v>109</v>
      </c>
      <c r="C37" s="181"/>
      <c r="D37" s="182"/>
      <c r="E37" s="96" t="s">
        <v>115</v>
      </c>
      <c r="F37" s="34" t="s">
        <v>36</v>
      </c>
      <c r="G37" s="95">
        <v>0.8</v>
      </c>
      <c r="H37" s="98">
        <f t="shared" si="0"/>
        <v>9224</v>
      </c>
    </row>
    <row r="38" spans="1:6" ht="15.75" customHeight="1" hidden="1">
      <c r="A38" s="85"/>
      <c r="B38" s="200" t="s">
        <v>110</v>
      </c>
      <c r="C38" s="200"/>
      <c r="D38" s="200"/>
      <c r="E38" s="200"/>
      <c r="F38" s="86"/>
    </row>
    <row r="39" spans="1:6" ht="15.75" customHeight="1" hidden="1">
      <c r="A39" s="85"/>
      <c r="B39" s="185" t="s">
        <v>116</v>
      </c>
      <c r="C39" s="185"/>
      <c r="D39" s="185"/>
      <c r="E39" s="185"/>
      <c r="F39" s="86"/>
    </row>
    <row r="40" spans="1:6" ht="15.75" customHeight="1" hidden="1">
      <c r="A40" s="85"/>
      <c r="B40" s="185" t="s">
        <v>117</v>
      </c>
      <c r="C40" s="185"/>
      <c r="D40" s="185"/>
      <c r="E40" s="185"/>
      <c r="F40" s="86"/>
    </row>
    <row r="41" ht="15.75" hidden="1">
      <c r="A41" t="s">
        <v>111</v>
      </c>
    </row>
    <row r="42" spans="1:8" ht="15.75" hidden="1">
      <c r="A42" t="s">
        <v>112</v>
      </c>
      <c r="B42" s="81"/>
      <c r="C42" s="81"/>
      <c r="D42" s="81"/>
      <c r="E42" s="81"/>
      <c r="F42" s="82"/>
      <c r="G42" s="83"/>
      <c r="H42" s="84"/>
    </row>
    <row r="43" spans="2:5" ht="18" customHeight="1">
      <c r="B43" s="201" t="s">
        <v>126</v>
      </c>
      <c r="C43" s="201"/>
      <c r="D43" s="201"/>
      <c r="E43" s="201"/>
    </row>
    <row r="45" spans="2:8" ht="15.75">
      <c r="B45" s="19" t="s">
        <v>123</v>
      </c>
      <c r="C45" s="19"/>
      <c r="D45" s="19"/>
      <c r="E45" s="19" t="s">
        <v>131</v>
      </c>
      <c r="F45" s="19"/>
      <c r="G45" s="19"/>
      <c r="H45" s="103"/>
    </row>
    <row r="47" spans="2:5" ht="15.75">
      <c r="B47" s="19" t="s">
        <v>124</v>
      </c>
      <c r="C47" s="19"/>
      <c r="D47" s="19"/>
      <c r="E47" t="s">
        <v>132</v>
      </c>
    </row>
  </sheetData>
  <mergeCells count="32">
    <mergeCell ref="B6:G6"/>
    <mergeCell ref="B12:D12"/>
    <mergeCell ref="B14:F14"/>
    <mergeCell ref="B15:F15"/>
    <mergeCell ref="B43:E43"/>
    <mergeCell ref="B16:F16"/>
    <mergeCell ref="B17:F17"/>
    <mergeCell ref="B19:D19"/>
    <mergeCell ref="B20:D20"/>
    <mergeCell ref="B21:D21"/>
    <mergeCell ref="B22:D22"/>
    <mergeCell ref="B23:D23"/>
    <mergeCell ref="B24:D24"/>
    <mergeCell ref="B25:D25"/>
    <mergeCell ref="B28:D28"/>
    <mergeCell ref="B38:E38"/>
    <mergeCell ref="B33:D33"/>
    <mergeCell ref="B34:D34"/>
    <mergeCell ref="B29:D29"/>
    <mergeCell ref="B30:D30"/>
    <mergeCell ref="B31:D31"/>
    <mergeCell ref="B32:D32"/>
    <mergeCell ref="B39:E39"/>
    <mergeCell ref="B40:E40"/>
    <mergeCell ref="D1:H1"/>
    <mergeCell ref="A4:H4"/>
    <mergeCell ref="B13:D13"/>
    <mergeCell ref="B35:D35"/>
    <mergeCell ref="B36:F36"/>
    <mergeCell ref="B37:D37"/>
    <mergeCell ref="B26:D26"/>
    <mergeCell ref="B27:D2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4">
      <selection activeCell="H24" sqref="H2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75" t="s">
        <v>148</v>
      </c>
      <c r="B1" s="175"/>
      <c r="C1" s="175"/>
      <c r="D1" s="175"/>
      <c r="E1" s="175"/>
      <c r="F1" s="175"/>
      <c r="G1" s="175"/>
      <c r="H1" s="175"/>
      <c r="I1" s="175"/>
    </row>
    <row r="2" spans="1:9" ht="1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 ht="14.2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7" ht="31.5" customHeight="1">
      <c r="A4" t="s">
        <v>40</v>
      </c>
      <c r="B4" s="1" t="s">
        <v>39</v>
      </c>
      <c r="C4" s="2"/>
      <c r="D4" s="105" t="s">
        <v>134</v>
      </c>
      <c r="E4" s="16">
        <v>5765.1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>
        <v>119</v>
      </c>
      <c r="F5" s="2"/>
      <c r="G5" s="2"/>
    </row>
    <row r="6" spans="2:8" ht="15.75">
      <c r="B6" s="3" t="s">
        <v>3</v>
      </c>
      <c r="C6" s="4">
        <v>8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94" t="s">
        <v>53</v>
      </c>
      <c r="C8" s="195"/>
      <c r="D8" s="196"/>
      <c r="E8" s="22" t="s">
        <v>6</v>
      </c>
      <c r="F8" s="22" t="s">
        <v>7</v>
      </c>
      <c r="G8" s="106" t="s">
        <v>135</v>
      </c>
      <c r="H8" s="71" t="s">
        <v>136</v>
      </c>
      <c r="I8" s="72" t="s">
        <v>137</v>
      </c>
    </row>
    <row r="9" spans="1:9" ht="26.25" customHeight="1">
      <c r="A9" s="88">
        <v>1</v>
      </c>
      <c r="B9" s="154">
        <v>2</v>
      </c>
      <c r="C9" s="155"/>
      <c r="D9" s="156"/>
      <c r="E9" s="89">
        <v>3</v>
      </c>
      <c r="F9" s="89"/>
      <c r="G9" s="107">
        <v>4</v>
      </c>
      <c r="H9" s="108">
        <v>5</v>
      </c>
      <c r="I9" s="109" t="s">
        <v>138</v>
      </c>
    </row>
    <row r="10" spans="1:9" ht="15.75" customHeight="1">
      <c r="A10" s="27">
        <v>1</v>
      </c>
      <c r="B10" s="197" t="s">
        <v>46</v>
      </c>
      <c r="C10" s="197"/>
      <c r="D10" s="197"/>
      <c r="E10" s="197"/>
      <c r="F10" s="197"/>
      <c r="G10" s="90"/>
      <c r="H10" s="28"/>
      <c r="I10" s="73"/>
    </row>
    <row r="11" spans="1:9" ht="28.5" customHeight="1">
      <c r="A11" s="27"/>
      <c r="B11" s="150" t="s">
        <v>101</v>
      </c>
      <c r="C11" s="150"/>
      <c r="D11" s="150"/>
      <c r="E11" s="150"/>
      <c r="F11" s="150"/>
      <c r="G11" s="14">
        <f>G32</f>
        <v>10.440000000000001</v>
      </c>
      <c r="H11" s="14">
        <f>H32</f>
        <v>11.119999999999997</v>
      </c>
      <c r="I11" s="25">
        <f>ROUND($E$4*G11*6,0)+ROUND($E$4*H11*6,0)</f>
        <v>745773</v>
      </c>
    </row>
    <row r="12" spans="1:9" ht="15.75" customHeight="1">
      <c r="A12" s="27"/>
      <c r="B12" s="193" t="s">
        <v>47</v>
      </c>
      <c r="C12" s="193"/>
      <c r="D12" s="193"/>
      <c r="E12" s="193"/>
      <c r="F12" s="193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57074</v>
      </c>
    </row>
    <row r="13" spans="1:9" ht="18.75" customHeight="1">
      <c r="A13" s="27">
        <v>2</v>
      </c>
      <c r="B13" s="151" t="s">
        <v>33</v>
      </c>
      <c r="C13" s="151"/>
      <c r="D13" s="151"/>
      <c r="E13" s="151"/>
      <c r="F13" s="151"/>
      <c r="G13" s="13"/>
      <c r="H13" s="29"/>
      <c r="I13" s="25"/>
    </row>
    <row r="14" spans="1:9" ht="15.75" customHeight="1">
      <c r="A14" s="27" t="s">
        <v>48</v>
      </c>
      <c r="B14" s="10" t="s">
        <v>34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4"/>
      <c r="B15" s="191" t="s">
        <v>139</v>
      </c>
      <c r="C15" s="191"/>
      <c r="D15" s="191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79904</v>
      </c>
    </row>
    <row r="16" spans="1:9" ht="18" customHeight="1">
      <c r="A16" s="74"/>
      <c r="B16" s="191" t="s">
        <v>16</v>
      </c>
      <c r="C16" s="191"/>
      <c r="D16" s="191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21446</v>
      </c>
    </row>
    <row r="17" spans="1:9" ht="15.75" customHeight="1">
      <c r="A17" s="74"/>
      <c r="B17" s="189" t="s">
        <v>140</v>
      </c>
      <c r="C17" s="189"/>
      <c r="D17" s="189"/>
      <c r="E17" s="53" t="s">
        <v>65</v>
      </c>
      <c r="F17" s="32" t="s">
        <v>18</v>
      </c>
      <c r="G17" s="31">
        <v>0.11</v>
      </c>
      <c r="H17" s="31">
        <v>0.12</v>
      </c>
      <c r="I17" s="25">
        <f t="shared" si="0"/>
        <v>7956</v>
      </c>
    </row>
    <row r="18" spans="1:9" ht="15.75">
      <c r="A18" s="74"/>
      <c r="B18" s="192" t="s">
        <v>27</v>
      </c>
      <c r="C18" s="192"/>
      <c r="D18" s="192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38742</v>
      </c>
    </row>
    <row r="19" spans="1:9" ht="51">
      <c r="A19" s="74"/>
      <c r="B19" s="189" t="s">
        <v>25</v>
      </c>
      <c r="C19" s="189"/>
      <c r="D19" s="189"/>
      <c r="E19" s="53" t="s">
        <v>66</v>
      </c>
      <c r="F19" s="32" t="s">
        <v>23</v>
      </c>
      <c r="G19" s="31">
        <v>0.13</v>
      </c>
      <c r="H19" s="31">
        <v>0.14</v>
      </c>
      <c r="I19" s="25">
        <f t="shared" si="0"/>
        <v>9340</v>
      </c>
    </row>
    <row r="20" spans="1:9" ht="16.5" customHeight="1">
      <c r="A20" s="74"/>
      <c r="B20" s="189" t="s">
        <v>10</v>
      </c>
      <c r="C20" s="189"/>
      <c r="D20" s="189"/>
      <c r="E20" s="53" t="s">
        <v>8</v>
      </c>
      <c r="F20" s="32" t="s">
        <v>11</v>
      </c>
      <c r="G20" s="94">
        <v>0</v>
      </c>
      <c r="H20" s="31">
        <v>0</v>
      </c>
      <c r="I20" s="25">
        <f t="shared" si="0"/>
        <v>0</v>
      </c>
    </row>
    <row r="21" spans="1:9" ht="15.75">
      <c r="A21" s="74"/>
      <c r="B21" s="189" t="s">
        <v>24</v>
      </c>
      <c r="C21" s="190"/>
      <c r="D21" s="190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3460</v>
      </c>
    </row>
    <row r="22" spans="1:9" ht="38.25">
      <c r="A22" s="74"/>
      <c r="B22" s="189" t="s">
        <v>67</v>
      </c>
      <c r="C22" s="189"/>
      <c r="D22" s="189"/>
      <c r="E22" s="49" t="s">
        <v>141</v>
      </c>
      <c r="F22" s="32" t="s">
        <v>36</v>
      </c>
      <c r="G22" s="31">
        <v>1.63</v>
      </c>
      <c r="H22" s="31">
        <v>1.74</v>
      </c>
      <c r="I22" s="25">
        <f t="shared" si="0"/>
        <v>116571</v>
      </c>
    </row>
    <row r="23" spans="1:9" ht="51">
      <c r="A23" s="74"/>
      <c r="B23" s="191" t="s">
        <v>14</v>
      </c>
      <c r="C23" s="191"/>
      <c r="D23" s="191"/>
      <c r="E23" s="49" t="s">
        <v>49</v>
      </c>
      <c r="F23" s="32" t="s">
        <v>36</v>
      </c>
      <c r="G23" s="94">
        <v>0</v>
      </c>
      <c r="H23" s="31">
        <v>0</v>
      </c>
      <c r="I23" s="25">
        <f t="shared" si="0"/>
        <v>0</v>
      </c>
    </row>
    <row r="24" spans="1:9" ht="30.75" customHeight="1">
      <c r="A24" s="74"/>
      <c r="B24" s="189" t="s">
        <v>30</v>
      </c>
      <c r="C24" s="190"/>
      <c r="D24" s="190"/>
      <c r="E24" s="49" t="s">
        <v>29</v>
      </c>
      <c r="F24" s="32" t="s">
        <v>36</v>
      </c>
      <c r="G24" s="31">
        <f>4.32-G25-G26</f>
        <v>4.32</v>
      </c>
      <c r="H24" s="31">
        <f>4.6-H25-H26</f>
        <v>4.6</v>
      </c>
      <c r="I24" s="25">
        <f t="shared" si="0"/>
        <v>308548</v>
      </c>
    </row>
    <row r="25" spans="1:9" ht="16.5" customHeight="1">
      <c r="A25" s="74"/>
      <c r="B25" s="189" t="s">
        <v>104</v>
      </c>
      <c r="C25" s="189"/>
      <c r="D25" s="189"/>
      <c r="E25" s="53" t="s">
        <v>8</v>
      </c>
      <c r="F25" s="32" t="s">
        <v>36</v>
      </c>
      <c r="G25" s="94">
        <v>0</v>
      </c>
      <c r="H25" s="31">
        <v>0</v>
      </c>
      <c r="I25" s="25">
        <f t="shared" si="0"/>
        <v>0</v>
      </c>
    </row>
    <row r="26" spans="1:9" ht="15.75" customHeight="1">
      <c r="A26" s="74"/>
      <c r="B26" s="189" t="s">
        <v>70</v>
      </c>
      <c r="C26" s="189"/>
      <c r="D26" s="189"/>
      <c r="E26" s="53" t="s">
        <v>8</v>
      </c>
      <c r="F26" s="32" t="s">
        <v>36</v>
      </c>
      <c r="G26" s="94">
        <v>0</v>
      </c>
      <c r="H26" s="31">
        <v>0</v>
      </c>
      <c r="I26" s="25">
        <f t="shared" si="0"/>
        <v>0</v>
      </c>
    </row>
    <row r="27" spans="1:9" ht="26.25" customHeight="1">
      <c r="A27" s="74"/>
      <c r="B27" s="190" t="s">
        <v>142</v>
      </c>
      <c r="C27" s="190"/>
      <c r="D27" s="190"/>
      <c r="E27" s="49" t="s">
        <v>29</v>
      </c>
      <c r="F27" s="32" t="s">
        <v>36</v>
      </c>
      <c r="G27" s="31">
        <v>1.12</v>
      </c>
      <c r="H27" s="31">
        <v>1.19</v>
      </c>
      <c r="I27" s="25">
        <f t="shared" si="0"/>
        <v>79904</v>
      </c>
    </row>
    <row r="28" spans="1:9" ht="15.75" hidden="1">
      <c r="A28" s="74"/>
      <c r="B28" s="168" t="s">
        <v>71</v>
      </c>
      <c r="C28" s="165"/>
      <c r="D28" s="166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4"/>
      <c r="B29" s="168" t="s">
        <v>72</v>
      </c>
      <c r="C29" s="165"/>
      <c r="D29" s="166"/>
      <c r="E29" s="49"/>
      <c r="F29" s="32"/>
      <c r="G29" s="31"/>
      <c r="H29" s="31"/>
      <c r="I29" s="25">
        <f t="shared" si="0"/>
        <v>0</v>
      </c>
    </row>
    <row r="30" spans="1:9" ht="15.75">
      <c r="A30" s="74"/>
      <c r="B30" s="186" t="s">
        <v>26</v>
      </c>
      <c r="C30" s="187"/>
      <c r="D30" s="188"/>
      <c r="E30" s="7"/>
      <c r="F30" s="32"/>
      <c r="G30" s="11">
        <f>SUM(G15:G29)</f>
        <v>9.32</v>
      </c>
      <c r="H30" s="11">
        <f>SUM(H15:H29)</f>
        <v>9.929999999999998</v>
      </c>
      <c r="I30" s="25">
        <f t="shared" si="0"/>
        <v>665869</v>
      </c>
    </row>
    <row r="31" spans="1:9" ht="16.5" customHeight="1">
      <c r="A31" s="27" t="s">
        <v>73</v>
      </c>
      <c r="B31" s="128" t="s">
        <v>125</v>
      </c>
      <c r="C31" s="161"/>
      <c r="D31" s="161"/>
      <c r="E31" s="110" t="s">
        <v>143</v>
      </c>
      <c r="F31" s="111" t="s">
        <v>36</v>
      </c>
      <c r="G31" s="14">
        <v>1.12</v>
      </c>
      <c r="H31" s="14">
        <v>1.19</v>
      </c>
      <c r="I31" s="25">
        <f t="shared" si="0"/>
        <v>79904</v>
      </c>
    </row>
    <row r="32" spans="1:9" ht="15.75">
      <c r="A32" s="27" t="s">
        <v>50</v>
      </c>
      <c r="B32" s="203" t="s">
        <v>105</v>
      </c>
      <c r="C32" s="204"/>
      <c r="D32" s="205"/>
      <c r="E32" s="10"/>
      <c r="F32" s="112"/>
      <c r="G32" s="11">
        <f>SUM(G30:G31)</f>
        <v>10.440000000000001</v>
      </c>
      <c r="H32" s="11">
        <f>SUM(H30:H31)</f>
        <v>11.119999999999997</v>
      </c>
      <c r="I32" s="25">
        <f t="shared" si="0"/>
        <v>745773</v>
      </c>
    </row>
    <row r="33" spans="1:9" ht="17.25" customHeight="1" thickBot="1">
      <c r="A33" s="76">
        <v>3</v>
      </c>
      <c r="B33" s="180" t="s">
        <v>144</v>
      </c>
      <c r="C33" s="181"/>
      <c r="D33" s="182"/>
      <c r="E33" s="35" t="s">
        <v>115</v>
      </c>
      <c r="F33" s="34" t="s">
        <v>36</v>
      </c>
      <c r="G33" s="95">
        <v>0.8</v>
      </c>
      <c r="H33" s="35">
        <v>0.85</v>
      </c>
      <c r="I33" s="98">
        <f t="shared" si="0"/>
        <v>57074</v>
      </c>
    </row>
    <row r="34" spans="1:6" ht="42" customHeight="1">
      <c r="A34" s="206" t="s">
        <v>145</v>
      </c>
      <c r="B34" s="206"/>
      <c r="C34" s="206"/>
      <c r="D34" s="206"/>
      <c r="E34" s="206"/>
      <c r="F34" s="86"/>
    </row>
    <row r="35" spans="1:6" ht="15.75" customHeight="1">
      <c r="A35" s="85"/>
      <c r="B35" s="185"/>
      <c r="C35" s="185"/>
      <c r="D35" s="185"/>
      <c r="E35" s="185"/>
      <c r="F35" s="86"/>
    </row>
    <row r="37" spans="2:10" ht="15.75">
      <c r="B37" s="19" t="s">
        <v>146</v>
      </c>
      <c r="E37" s="171" t="s">
        <v>147</v>
      </c>
      <c r="F37" s="171"/>
      <c r="G37" s="171"/>
      <c r="H37" s="171"/>
      <c r="I37" s="183"/>
      <c r="J37" s="183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20">
      <selection activeCell="H27" sqref="H1:H16384"/>
    </sheetView>
  </sheetViews>
  <sheetFormatPr defaultColWidth="9.00390625" defaultRowHeight="15.75"/>
  <cols>
    <col min="1" max="1" width="6.875" style="0" customWidth="1"/>
    <col min="2" max="2" width="34.625" style="0" customWidth="1"/>
    <col min="3" max="3" width="5.25390625" style="0" customWidth="1"/>
    <col min="4" max="4" width="27.875" style="0" customWidth="1"/>
    <col min="5" max="5" width="21.625" style="0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26.50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7" t="s">
        <v>161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64.5" customHeight="1">
      <c r="A2" s="208" t="s">
        <v>149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6" ht="31.5">
      <c r="A3" s="19" t="s">
        <v>40</v>
      </c>
      <c r="B3" s="1" t="s">
        <v>162</v>
      </c>
      <c r="C3" s="2"/>
      <c r="D3" s="105" t="s">
        <v>134</v>
      </c>
      <c r="E3" s="16">
        <v>5765.1</v>
      </c>
      <c r="F3" s="2"/>
    </row>
    <row r="4" spans="2:6" ht="15.75">
      <c r="B4" s="3" t="s">
        <v>1</v>
      </c>
      <c r="C4" s="21">
        <v>5</v>
      </c>
      <c r="D4" s="2" t="s">
        <v>2</v>
      </c>
      <c r="E4" s="17">
        <v>119</v>
      </c>
      <c r="F4" s="2"/>
    </row>
    <row r="5" spans="2:7" ht="15.75">
      <c r="B5" s="3" t="s">
        <v>3</v>
      </c>
      <c r="C5" s="4">
        <v>8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54" t="s">
        <v>53</v>
      </c>
      <c r="C7" s="155"/>
      <c r="D7" s="156"/>
      <c r="E7" s="6" t="s">
        <v>6</v>
      </c>
      <c r="F7" s="6" t="s">
        <v>7</v>
      </c>
      <c r="G7" s="100" t="s">
        <v>150</v>
      </c>
      <c r="H7" s="157" t="s">
        <v>151</v>
      </c>
      <c r="I7" s="158"/>
      <c r="J7" s="159"/>
      <c r="K7" s="23">
        <v>2</v>
      </c>
      <c r="L7" s="113" t="s">
        <v>152</v>
      </c>
    </row>
    <row r="8" spans="1:10" ht="15.75">
      <c r="A8" s="13">
        <v>1</v>
      </c>
      <c r="B8" s="160"/>
      <c r="C8" s="147"/>
      <c r="D8" s="147"/>
      <c r="E8" s="147"/>
      <c r="F8" s="148"/>
      <c r="G8" s="114"/>
      <c r="H8" s="115" t="s">
        <v>55</v>
      </c>
      <c r="I8" s="41" t="s">
        <v>56</v>
      </c>
      <c r="J8" s="41" t="s">
        <v>57</v>
      </c>
    </row>
    <row r="9" spans="1:10" ht="15.75">
      <c r="A9" s="13"/>
      <c r="B9" s="160" t="s">
        <v>58</v>
      </c>
      <c r="C9" s="147"/>
      <c r="D9" s="147"/>
      <c r="E9" s="147"/>
      <c r="F9" s="148"/>
      <c r="G9" s="24"/>
      <c r="H9" s="24"/>
      <c r="I9" s="24"/>
      <c r="J9" s="41"/>
    </row>
    <row r="10" spans="1:10" ht="15.75">
      <c r="A10" s="42"/>
      <c r="B10" s="149" t="s">
        <v>59</v>
      </c>
      <c r="C10" s="149"/>
      <c r="D10" s="149"/>
      <c r="E10" s="149"/>
      <c r="F10" s="149"/>
      <c r="G10" s="8"/>
      <c r="H10" s="18">
        <v>143689.57</v>
      </c>
      <c r="I10" s="28"/>
      <c r="J10" s="43">
        <f>H10+I10</f>
        <v>143689.57</v>
      </c>
    </row>
    <row r="11" spans="1:10" ht="15.75">
      <c r="A11" s="42"/>
      <c r="B11" s="149" t="s">
        <v>60</v>
      </c>
      <c r="C11" s="149"/>
      <c r="D11" s="149"/>
      <c r="E11" s="149"/>
      <c r="F11" s="149"/>
      <c r="G11" s="8"/>
      <c r="H11" s="9">
        <v>8497.37</v>
      </c>
      <c r="I11" s="28"/>
      <c r="J11" s="43">
        <f>H11+I11</f>
        <v>8497.37</v>
      </c>
    </row>
    <row r="12" spans="1:10" ht="15.75">
      <c r="A12" s="13"/>
      <c r="B12" s="149" t="s">
        <v>61</v>
      </c>
      <c r="C12" s="149"/>
      <c r="D12" s="149"/>
      <c r="E12" s="149"/>
      <c r="F12" s="149"/>
      <c r="G12" s="8"/>
      <c r="H12" s="18"/>
      <c r="I12" s="28">
        <v>0</v>
      </c>
      <c r="J12" s="43">
        <f>H12+I12</f>
        <v>0</v>
      </c>
    </row>
    <row r="13" spans="1:10" ht="15.75">
      <c r="A13" s="13"/>
      <c r="B13" s="149" t="s">
        <v>62</v>
      </c>
      <c r="C13" s="149"/>
      <c r="D13" s="149"/>
      <c r="E13" s="149"/>
      <c r="F13" s="149"/>
      <c r="G13" s="8"/>
      <c r="H13" s="18">
        <v>0</v>
      </c>
      <c r="I13" s="44">
        <v>0</v>
      </c>
      <c r="J13" s="43">
        <f>H13+I13</f>
        <v>0</v>
      </c>
    </row>
    <row r="14" spans="1:10" ht="15.75">
      <c r="A14" s="13"/>
      <c r="B14" s="150" t="s">
        <v>63</v>
      </c>
      <c r="C14" s="150"/>
      <c r="D14" s="150"/>
      <c r="E14" s="150"/>
      <c r="F14" s="150"/>
      <c r="G14" s="8"/>
      <c r="H14" s="45">
        <f>SUM(H10:H12)</f>
        <v>152186.94</v>
      </c>
      <c r="I14" s="46">
        <f>SUM(I10:I12)</f>
        <v>0</v>
      </c>
      <c r="J14" s="45">
        <f>SUM(J10:J13)</f>
        <v>152186.94</v>
      </c>
    </row>
    <row r="15" spans="1:10" ht="18.75">
      <c r="A15" s="13">
        <v>2</v>
      </c>
      <c r="B15" s="209" t="s">
        <v>33</v>
      </c>
      <c r="C15" s="209"/>
      <c r="D15" s="209"/>
      <c r="E15" s="209"/>
      <c r="F15" s="209"/>
      <c r="G15" s="8"/>
      <c r="H15" s="18"/>
      <c r="I15" s="28"/>
      <c r="J15" s="20"/>
    </row>
    <row r="16" spans="1:10" ht="15.75">
      <c r="A16" s="13" t="s">
        <v>48</v>
      </c>
      <c r="B16" s="116" t="s">
        <v>34</v>
      </c>
      <c r="C16" s="116"/>
      <c r="D16" s="116"/>
      <c r="E16" s="116"/>
      <c r="F16" s="117"/>
      <c r="G16" s="115"/>
      <c r="H16" s="115"/>
      <c r="I16" s="37"/>
      <c r="J16" s="41"/>
    </row>
    <row r="17" spans="1:10" ht="33" customHeight="1">
      <c r="A17" s="48"/>
      <c r="B17" s="152" t="s">
        <v>153</v>
      </c>
      <c r="C17" s="152"/>
      <c r="D17" s="152"/>
      <c r="E17" s="118" t="s">
        <v>28</v>
      </c>
      <c r="F17" s="30" t="s">
        <v>22</v>
      </c>
      <c r="G17" s="31">
        <v>1.12</v>
      </c>
      <c r="H17" s="50">
        <f>ROUND($E$3*G17*$K$7,2)</f>
        <v>12913.82</v>
      </c>
      <c r="I17" s="51"/>
      <c r="J17" s="52">
        <f>SUM(H17:I17)</f>
        <v>12913.82</v>
      </c>
    </row>
    <row r="18" spans="1:10" ht="17.25" customHeight="1">
      <c r="A18" s="13"/>
      <c r="B18" s="153" t="s">
        <v>16</v>
      </c>
      <c r="C18" s="153"/>
      <c r="D18" s="153"/>
      <c r="E18" s="118" t="s">
        <v>28</v>
      </c>
      <c r="F18" s="30" t="s">
        <v>17</v>
      </c>
      <c r="G18" s="31">
        <v>0.3</v>
      </c>
      <c r="H18" s="50">
        <f>ROUND($E$3*G18*$K$7,2)</f>
        <v>3459.06</v>
      </c>
      <c r="I18" s="51"/>
      <c r="J18" s="52">
        <f>SUM(H18:I18)</f>
        <v>3459.06</v>
      </c>
    </row>
    <row r="19" spans="1:10" ht="20.25" customHeight="1">
      <c r="A19" s="13"/>
      <c r="B19" s="145" t="s">
        <v>21</v>
      </c>
      <c r="C19" s="145"/>
      <c r="D19" s="145"/>
      <c r="E19" s="97" t="s">
        <v>65</v>
      </c>
      <c r="F19" s="32" t="s">
        <v>18</v>
      </c>
      <c r="G19" s="31">
        <v>0.41</v>
      </c>
      <c r="H19" s="50">
        <f>J19-I19</f>
        <v>1096.26</v>
      </c>
      <c r="I19" s="51"/>
      <c r="J19" s="54">
        <v>1096.26</v>
      </c>
    </row>
    <row r="20" spans="1:10" ht="20.25" customHeight="1">
      <c r="A20" s="48"/>
      <c r="B20" s="152" t="s">
        <v>27</v>
      </c>
      <c r="C20" s="152"/>
      <c r="D20" s="152"/>
      <c r="E20" s="119" t="s">
        <v>8</v>
      </c>
      <c r="F20" s="33" t="s">
        <v>9</v>
      </c>
      <c r="G20" s="31">
        <v>0.54</v>
      </c>
      <c r="H20" s="50">
        <f>ROUND($E$3*G20*$K$7,2)</f>
        <v>6226.31</v>
      </c>
      <c r="I20" s="51"/>
      <c r="J20" s="52">
        <f>SUM(H20:I20)</f>
        <v>6226.31</v>
      </c>
    </row>
    <row r="21" spans="1:10" ht="60.75" customHeight="1">
      <c r="A21" s="13"/>
      <c r="B21" s="145" t="s">
        <v>25</v>
      </c>
      <c r="C21" s="145"/>
      <c r="D21" s="145"/>
      <c r="E21" s="97" t="s">
        <v>66</v>
      </c>
      <c r="F21" s="32" t="s">
        <v>23</v>
      </c>
      <c r="G21" s="31">
        <v>0.13</v>
      </c>
      <c r="H21" s="50">
        <f>J21-I21</f>
        <v>0</v>
      </c>
      <c r="I21" s="51"/>
      <c r="J21" s="54">
        <v>0</v>
      </c>
    </row>
    <row r="22" spans="1:10" ht="20.25" customHeight="1">
      <c r="A22" s="48"/>
      <c r="B22" s="145" t="s">
        <v>10</v>
      </c>
      <c r="C22" s="145"/>
      <c r="D22" s="145"/>
      <c r="E22" s="97" t="s">
        <v>8</v>
      </c>
      <c r="F22" s="32" t="s">
        <v>11</v>
      </c>
      <c r="G22" s="94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45" t="s">
        <v>24</v>
      </c>
      <c r="C23" s="163"/>
      <c r="D23" s="163"/>
      <c r="E23" s="120" t="s">
        <v>12</v>
      </c>
      <c r="F23" s="29" t="s">
        <v>13</v>
      </c>
      <c r="G23" s="31">
        <v>0.05</v>
      </c>
      <c r="H23" s="50">
        <f>J23-I23</f>
        <v>0</v>
      </c>
      <c r="I23" s="51"/>
      <c r="J23" s="54">
        <v>0</v>
      </c>
    </row>
    <row r="24" spans="1:10" ht="28.5" customHeight="1">
      <c r="A24" s="13"/>
      <c r="B24" s="145" t="s">
        <v>67</v>
      </c>
      <c r="C24" s="145"/>
      <c r="D24" s="145"/>
      <c r="E24" s="118" t="s">
        <v>29</v>
      </c>
      <c r="F24" s="57" t="s">
        <v>68</v>
      </c>
      <c r="G24" s="31">
        <v>1.63</v>
      </c>
      <c r="H24" s="50">
        <f aca="true" t="shared" si="0" ref="H24:H29">ROUND($E$3*G24*$K$7,2)</f>
        <v>18794.23</v>
      </c>
      <c r="I24" s="51"/>
      <c r="J24" s="52">
        <f aca="true" t="shared" si="1" ref="J24:J29">SUM(H24:I24)</f>
        <v>18794.23</v>
      </c>
    </row>
    <row r="25" spans="1:10" ht="26.25" customHeight="1">
      <c r="A25" s="13"/>
      <c r="B25" s="153" t="s">
        <v>14</v>
      </c>
      <c r="C25" s="153"/>
      <c r="D25" s="153"/>
      <c r="E25" s="118" t="s">
        <v>29</v>
      </c>
      <c r="F25" s="57" t="s">
        <v>68</v>
      </c>
      <c r="G25" s="31">
        <v>0.47</v>
      </c>
      <c r="H25" s="50">
        <v>338.65</v>
      </c>
      <c r="I25" s="51"/>
      <c r="J25" s="52">
        <f t="shared" si="1"/>
        <v>338.65</v>
      </c>
    </row>
    <row r="26" spans="1:10" ht="30" customHeight="1">
      <c r="A26" s="13"/>
      <c r="B26" s="210" t="s">
        <v>30</v>
      </c>
      <c r="C26" s="173"/>
      <c r="D26" s="174"/>
      <c r="E26" s="118" t="s">
        <v>29</v>
      </c>
      <c r="F26" s="57" t="s">
        <v>68</v>
      </c>
      <c r="G26" s="31">
        <f>4.32-G27-G28</f>
        <v>4.32</v>
      </c>
      <c r="H26" s="50">
        <f>ROUND($E$3*G26*$K$7,2)</f>
        <v>49810.46</v>
      </c>
      <c r="I26" s="60"/>
      <c r="J26" s="52">
        <f t="shared" si="1"/>
        <v>49810.46</v>
      </c>
    </row>
    <row r="27" spans="1:10" ht="26.25" customHeight="1">
      <c r="A27" s="48"/>
      <c r="B27" s="145" t="s">
        <v>69</v>
      </c>
      <c r="C27" s="145"/>
      <c r="D27" s="145"/>
      <c r="E27" s="118" t="s">
        <v>29</v>
      </c>
      <c r="F27" s="57" t="s">
        <v>68</v>
      </c>
      <c r="G27" s="94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45" t="s">
        <v>70</v>
      </c>
      <c r="C28" s="145"/>
      <c r="D28" s="145"/>
      <c r="E28" s="97" t="s">
        <v>8</v>
      </c>
      <c r="F28" s="57" t="s">
        <v>68</v>
      </c>
      <c r="G28" s="94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63" t="s">
        <v>19</v>
      </c>
      <c r="C29" s="163"/>
      <c r="D29" s="163"/>
      <c r="E29" s="53" t="s">
        <v>29</v>
      </c>
      <c r="F29" s="57" t="s">
        <v>68</v>
      </c>
      <c r="G29" s="31">
        <v>1.12</v>
      </c>
      <c r="H29" s="50">
        <f t="shared" si="0"/>
        <v>12913.82</v>
      </c>
      <c r="I29" s="51"/>
      <c r="J29" s="52">
        <f t="shared" si="1"/>
        <v>12913.82</v>
      </c>
    </row>
    <row r="30" spans="1:10" ht="15.75">
      <c r="A30" s="13"/>
      <c r="B30" s="172"/>
      <c r="C30" s="173"/>
      <c r="D30" s="174"/>
      <c r="E30" s="97"/>
      <c r="F30" s="57"/>
      <c r="G30" s="29"/>
      <c r="H30" s="58"/>
      <c r="I30" s="44"/>
      <c r="J30" s="61"/>
    </row>
    <row r="31" spans="1:10" ht="15.75">
      <c r="A31" s="13"/>
      <c r="B31" s="211" t="s">
        <v>26</v>
      </c>
      <c r="C31" s="211"/>
      <c r="D31" s="211"/>
      <c r="E31" s="13"/>
      <c r="F31" s="57"/>
      <c r="G31" s="14">
        <f>SUM(G17:G29)</f>
        <v>10.09</v>
      </c>
      <c r="H31" s="70">
        <f>SUM(H17:H30)</f>
        <v>105552.61000000002</v>
      </c>
      <c r="I31" s="46"/>
      <c r="J31" s="70">
        <f>SUM(J17:J30)</f>
        <v>105552.61000000002</v>
      </c>
    </row>
    <row r="32" spans="1:10" ht="15.75" hidden="1">
      <c r="A32" s="13"/>
      <c r="B32" s="168" t="s">
        <v>71</v>
      </c>
      <c r="C32" s="165"/>
      <c r="D32" s="166"/>
      <c r="E32" s="97" t="s">
        <v>8</v>
      </c>
      <c r="F32" s="57"/>
      <c r="G32" s="29"/>
      <c r="H32" s="58"/>
      <c r="I32" s="44"/>
      <c r="J32" s="61"/>
    </row>
    <row r="33" spans="1:10" ht="25.5" hidden="1">
      <c r="A33" s="13"/>
      <c r="B33" s="168" t="s">
        <v>72</v>
      </c>
      <c r="C33" s="165"/>
      <c r="D33" s="166"/>
      <c r="E33" s="118" t="s">
        <v>29</v>
      </c>
      <c r="F33" s="57"/>
      <c r="G33" s="29"/>
      <c r="H33" s="58"/>
      <c r="I33" s="44"/>
      <c r="J33" s="61"/>
    </row>
    <row r="34" spans="1:10" ht="15.75">
      <c r="A34" s="13"/>
      <c r="B34" s="172"/>
      <c r="C34" s="173"/>
      <c r="D34" s="174"/>
      <c r="E34" s="97"/>
      <c r="F34" s="57"/>
      <c r="G34" s="29"/>
      <c r="H34" s="58"/>
      <c r="I34" s="44"/>
      <c r="J34" s="61"/>
    </row>
    <row r="35" spans="1:10" ht="15" customHeight="1">
      <c r="A35" s="13" t="s">
        <v>73</v>
      </c>
      <c r="B35" s="128" t="s">
        <v>74</v>
      </c>
      <c r="C35" s="161"/>
      <c r="D35" s="161"/>
      <c r="E35" s="162"/>
      <c r="F35" s="57" t="s">
        <v>68</v>
      </c>
      <c r="G35" s="14">
        <f>H35/E3/$K$7</f>
        <v>0</v>
      </c>
      <c r="H35" s="121">
        <v>0</v>
      </c>
      <c r="I35" s="65"/>
      <c r="J35" s="70">
        <f>SUM(H35:I35)</f>
        <v>0</v>
      </c>
    </row>
    <row r="36" spans="1:10" ht="14.25" customHeight="1">
      <c r="A36" s="15"/>
      <c r="B36" s="177" t="s">
        <v>35</v>
      </c>
      <c r="C36" s="177"/>
      <c r="D36" s="177"/>
      <c r="E36" s="177"/>
      <c r="F36" s="177"/>
      <c r="G36" s="14">
        <f>SUM(G31:G35)</f>
        <v>10.09</v>
      </c>
      <c r="H36" s="122">
        <f>SUM(H31:H35)</f>
        <v>105552.61000000002</v>
      </c>
      <c r="I36" s="123"/>
      <c r="J36" s="123">
        <f>SUM(J31:J35)</f>
        <v>105552.61000000002</v>
      </c>
    </row>
    <row r="37" spans="1:10" ht="15.75">
      <c r="A37" s="13" t="s">
        <v>50</v>
      </c>
      <c r="B37" s="177" t="s">
        <v>75</v>
      </c>
      <c r="C37" s="177"/>
      <c r="D37" s="177"/>
      <c r="E37" s="177"/>
      <c r="F37" s="177"/>
      <c r="G37" s="14">
        <f>H37/E3/$K$7</f>
        <v>0</v>
      </c>
      <c r="H37" s="68">
        <v>0</v>
      </c>
      <c r="I37" s="68"/>
      <c r="J37" s="124">
        <f>SUM(H37:I37)</f>
        <v>0</v>
      </c>
    </row>
    <row r="38" spans="1:10" ht="24.75" customHeight="1">
      <c r="A38" s="15"/>
      <c r="B38" s="177" t="s">
        <v>76</v>
      </c>
      <c r="C38" s="177"/>
      <c r="D38" s="177"/>
      <c r="E38" s="177"/>
      <c r="F38" s="177"/>
      <c r="G38" s="14">
        <f>SUM(G36:G37)</f>
        <v>10.09</v>
      </c>
      <c r="H38" s="122">
        <f>SUM(H36:H37)</f>
        <v>105552.61000000002</v>
      </c>
      <c r="I38" s="123"/>
      <c r="J38" s="123">
        <f>SUM(J36:J37)</f>
        <v>105552.61000000002</v>
      </c>
    </row>
    <row r="39" spans="1:10" ht="27" customHeight="1">
      <c r="A39" s="13">
        <v>3</v>
      </c>
      <c r="B39" s="164" t="s">
        <v>154</v>
      </c>
      <c r="C39" s="169"/>
      <c r="D39" s="169"/>
      <c r="E39" s="169"/>
      <c r="F39" s="169"/>
      <c r="G39" s="99"/>
      <c r="H39" s="50">
        <f>H14-H38</f>
        <v>46634.32999999999</v>
      </c>
      <c r="I39" s="50"/>
      <c r="J39" s="46">
        <f>J14-J38</f>
        <v>46634.32999999999</v>
      </c>
    </row>
    <row r="40" spans="2:6" ht="15.75">
      <c r="B40" s="19"/>
      <c r="F40" s="19"/>
    </row>
    <row r="41" spans="2:10" ht="15.75" customHeight="1">
      <c r="B41" s="212" t="s">
        <v>155</v>
      </c>
      <c r="C41" s="212"/>
      <c r="D41" s="212"/>
      <c r="E41" s="212"/>
      <c r="F41" s="212"/>
      <c r="G41" s="212"/>
      <c r="H41" s="212"/>
      <c r="I41" s="212"/>
      <c r="J41" s="212"/>
    </row>
    <row r="42" spans="2:4" ht="25.5" customHeight="1">
      <c r="B42" s="19"/>
      <c r="C42" s="19"/>
      <c r="D42" s="19"/>
    </row>
    <row r="43" spans="2:4" ht="15.75">
      <c r="B43" s="103" t="s">
        <v>156</v>
      </c>
      <c r="C43" s="103"/>
      <c r="D43" s="103"/>
    </row>
    <row r="44" spans="2:4" ht="15.75">
      <c r="B44" s="125" t="s">
        <v>157</v>
      </c>
      <c r="C44" s="125"/>
      <c r="D44" s="103"/>
    </row>
    <row r="45" spans="2:4" ht="15.75" customHeight="1">
      <c r="B45" s="167" t="s">
        <v>158</v>
      </c>
      <c r="C45" s="167"/>
      <c r="D45" s="167"/>
    </row>
    <row r="48" ht="15.75">
      <c r="B48" t="s">
        <v>159</v>
      </c>
    </row>
    <row r="49" ht="15.75">
      <c r="B49" t="s">
        <v>160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1" header="0.5" footer="0.5"/>
  <pageSetup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J1">
      <selection activeCell="Q7" sqref="Q7"/>
    </sheetView>
  </sheetViews>
  <sheetFormatPr defaultColWidth="9.00390625" defaultRowHeight="15.75"/>
  <cols>
    <col min="1" max="1" width="11.875" style="0" customWidth="1"/>
    <col min="2" max="2" width="10.37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9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5.75" customHeight="1">
      <c r="A2" s="220" t="s">
        <v>163</v>
      </c>
      <c r="B2" s="222" t="s">
        <v>77</v>
      </c>
      <c r="C2" s="222" t="s">
        <v>78</v>
      </c>
      <c r="D2" s="222"/>
      <c r="E2" s="222"/>
      <c r="F2" s="222"/>
      <c r="G2" s="222"/>
      <c r="H2" s="222"/>
      <c r="I2" s="222"/>
      <c r="J2" s="223" t="s">
        <v>79</v>
      </c>
      <c r="K2" s="223"/>
      <c r="L2" s="223"/>
      <c r="M2" s="224" t="s">
        <v>80</v>
      </c>
      <c r="N2" s="222" t="s">
        <v>81</v>
      </c>
      <c r="O2" s="222"/>
      <c r="P2" s="222"/>
      <c r="Q2" s="222"/>
      <c r="R2" s="222"/>
      <c r="S2" s="226" t="s">
        <v>164</v>
      </c>
    </row>
    <row r="3" spans="1:19" ht="15.75" customHeight="1">
      <c r="A3" s="221"/>
      <c r="B3" s="213"/>
      <c r="C3" s="228" t="s">
        <v>82</v>
      </c>
      <c r="D3" s="229"/>
      <c r="E3" s="230"/>
      <c r="F3" s="228" t="s">
        <v>83</v>
      </c>
      <c r="G3" s="229"/>
      <c r="H3" s="230"/>
      <c r="I3" s="214" t="s">
        <v>84</v>
      </c>
      <c r="J3" s="215" t="s">
        <v>85</v>
      </c>
      <c r="K3" s="217" t="s">
        <v>86</v>
      </c>
      <c r="L3" s="215" t="s">
        <v>87</v>
      </c>
      <c r="M3" s="225"/>
      <c r="N3" s="214" t="s">
        <v>88</v>
      </c>
      <c r="O3" s="213" t="s">
        <v>89</v>
      </c>
      <c r="P3" s="213" t="s">
        <v>90</v>
      </c>
      <c r="Q3" s="213" t="s">
        <v>91</v>
      </c>
      <c r="R3" s="213" t="s">
        <v>92</v>
      </c>
      <c r="S3" s="227"/>
    </row>
    <row r="4" spans="1:19" ht="47.25" customHeight="1">
      <c r="A4" s="221"/>
      <c r="B4" s="213"/>
      <c r="C4" s="129" t="s">
        <v>93</v>
      </c>
      <c r="D4" s="127" t="s">
        <v>91</v>
      </c>
      <c r="E4" s="127" t="s">
        <v>92</v>
      </c>
      <c r="F4" s="129" t="s">
        <v>93</v>
      </c>
      <c r="G4" s="127" t="s">
        <v>91</v>
      </c>
      <c r="H4" s="127" t="s">
        <v>92</v>
      </c>
      <c r="I4" s="214"/>
      <c r="J4" s="216"/>
      <c r="K4" s="218"/>
      <c r="L4" s="216"/>
      <c r="M4" s="218"/>
      <c r="N4" s="213"/>
      <c r="O4" s="213"/>
      <c r="P4" s="213"/>
      <c r="Q4" s="213"/>
      <c r="R4" s="213"/>
      <c r="S4" s="227"/>
    </row>
    <row r="5" spans="1:19" ht="31.5">
      <c r="A5" s="126">
        <v>1</v>
      </c>
      <c r="B5" s="127">
        <v>2</v>
      </c>
      <c r="C5" s="129">
        <v>3</v>
      </c>
      <c r="D5" s="127">
        <v>4</v>
      </c>
      <c r="E5" s="127" t="s">
        <v>94</v>
      </c>
      <c r="F5" s="129">
        <v>6</v>
      </c>
      <c r="G5" s="127">
        <v>7</v>
      </c>
      <c r="H5" s="127" t="s">
        <v>95</v>
      </c>
      <c r="I5" s="129" t="s">
        <v>96</v>
      </c>
      <c r="J5" s="127">
        <v>10</v>
      </c>
      <c r="K5" s="127">
        <v>11</v>
      </c>
      <c r="L5" s="129">
        <v>12</v>
      </c>
      <c r="M5" s="129" t="s">
        <v>97</v>
      </c>
      <c r="N5" s="127">
        <v>14</v>
      </c>
      <c r="O5" s="129">
        <v>15</v>
      </c>
      <c r="P5" s="127">
        <v>16</v>
      </c>
      <c r="Q5" s="127">
        <v>17</v>
      </c>
      <c r="R5" s="129" t="s">
        <v>98</v>
      </c>
      <c r="S5" s="130" t="s">
        <v>99</v>
      </c>
    </row>
    <row r="6" spans="1:19" ht="15.75">
      <c r="A6" s="131">
        <v>-344010.91</v>
      </c>
      <c r="B6" s="132" t="s">
        <v>165</v>
      </c>
      <c r="C6" s="133">
        <v>117147.75</v>
      </c>
      <c r="D6" s="133">
        <v>7707.06</v>
      </c>
      <c r="E6" s="133">
        <f>C6+D6</f>
        <v>124854.81</v>
      </c>
      <c r="F6" s="133">
        <v>143689.57</v>
      </c>
      <c r="G6" s="133">
        <v>8497.37</v>
      </c>
      <c r="H6" s="133">
        <f>SUM(F6:G6)</f>
        <v>152186.94</v>
      </c>
      <c r="I6" s="134">
        <f>E6-H6</f>
        <v>-27332.130000000005</v>
      </c>
      <c r="J6" s="133">
        <v>0</v>
      </c>
      <c r="K6" s="133">
        <v>0</v>
      </c>
      <c r="L6" s="133">
        <v>0</v>
      </c>
      <c r="M6" s="133">
        <f>H6+J6+K6+L6</f>
        <v>152186.94</v>
      </c>
      <c r="N6" s="133">
        <f>'отчет 2012 новый'!J29</f>
        <v>12913.82</v>
      </c>
      <c r="O6" s="133">
        <f>'отчет 2012 новый'!J31-'отчет 2012 новый'!J29</f>
        <v>92638.79000000001</v>
      </c>
      <c r="P6" s="133">
        <f>'отчет 2012 новый'!J35</f>
        <v>0</v>
      </c>
      <c r="Q6" s="134">
        <f>'отчет 2012 новый'!J37</f>
        <v>0</v>
      </c>
      <c r="R6" s="133">
        <f>SUM(N6:Q6)</f>
        <v>105552.61000000002</v>
      </c>
      <c r="S6" s="135">
        <f>M6-R6</f>
        <v>46634.32999999999</v>
      </c>
    </row>
    <row r="7" spans="1:19" ht="15.75">
      <c r="A7" s="131"/>
      <c r="B7" s="132"/>
      <c r="C7" s="133"/>
      <c r="D7" s="133"/>
      <c r="E7" s="133">
        <f>SUM(C7:D7)</f>
        <v>0</v>
      </c>
      <c r="F7" s="133"/>
      <c r="G7" s="133"/>
      <c r="H7" s="133">
        <f>SUM(F7:G7)</f>
        <v>0</v>
      </c>
      <c r="I7" s="134">
        <f>E7-H7</f>
        <v>0</v>
      </c>
      <c r="J7" s="133">
        <v>0</v>
      </c>
      <c r="K7" s="133">
        <v>0</v>
      </c>
      <c r="L7" s="133">
        <v>0</v>
      </c>
      <c r="M7" s="133">
        <f>H7+J7+K7+L7</f>
        <v>0</v>
      </c>
      <c r="N7" s="133"/>
      <c r="O7" s="133"/>
      <c r="P7" s="133"/>
      <c r="Q7" s="134">
        <v>0</v>
      </c>
      <c r="R7" s="133">
        <f>SUM(N7:Q7)</f>
        <v>0</v>
      </c>
      <c r="S7" s="135">
        <f>M7-R7</f>
        <v>0</v>
      </c>
    </row>
    <row r="8" spans="1:19" ht="15.75">
      <c r="A8" s="131"/>
      <c r="B8" s="132"/>
      <c r="C8" s="133"/>
      <c r="D8" s="133"/>
      <c r="E8" s="133">
        <f>SUM(C8:D8)</f>
        <v>0</v>
      </c>
      <c r="F8" s="133"/>
      <c r="G8" s="133"/>
      <c r="H8" s="133">
        <f>SUM(F8:G8)</f>
        <v>0</v>
      </c>
      <c r="I8" s="134">
        <f>E8-H8</f>
        <v>0</v>
      </c>
      <c r="J8" s="133">
        <v>0</v>
      </c>
      <c r="K8" s="133">
        <v>0</v>
      </c>
      <c r="L8" s="133">
        <v>0</v>
      </c>
      <c r="M8" s="133">
        <f>H8+J8+K8+L8</f>
        <v>0</v>
      </c>
      <c r="N8" s="133"/>
      <c r="O8" s="133"/>
      <c r="P8" s="133"/>
      <c r="Q8" s="134">
        <v>0</v>
      </c>
      <c r="R8" s="133">
        <f>SUM(N8:Q8)</f>
        <v>0</v>
      </c>
      <c r="S8" s="135">
        <f>M8-R8</f>
        <v>0</v>
      </c>
    </row>
    <row r="9" spans="1:19" ht="15.75">
      <c r="A9" s="131"/>
      <c r="B9" s="132"/>
      <c r="C9" s="133"/>
      <c r="D9" s="133"/>
      <c r="E9" s="133">
        <f>SUM(C9:D9)</f>
        <v>0</v>
      </c>
      <c r="F9" s="133"/>
      <c r="G9" s="133"/>
      <c r="H9" s="133">
        <f>SUM(F9:G9)</f>
        <v>0</v>
      </c>
      <c r="I9" s="134">
        <f>E9-H9</f>
        <v>0</v>
      </c>
      <c r="J9" s="133">
        <f>'[1]отчет 2011'!I12</f>
        <v>0</v>
      </c>
      <c r="K9" s="133">
        <f>'[1]отчет 2011'!I13</f>
        <v>0</v>
      </c>
      <c r="L9" s="133">
        <f>'[1]отчет 2011'!H13</f>
        <v>0</v>
      </c>
      <c r="M9" s="133">
        <f>H9+J9+K9+L9</f>
        <v>0</v>
      </c>
      <c r="N9" s="133"/>
      <c r="O9" s="133"/>
      <c r="P9" s="133"/>
      <c r="Q9" s="134">
        <v>0</v>
      </c>
      <c r="R9" s="133">
        <f>SUM(N9:Q9)</f>
        <v>0</v>
      </c>
      <c r="S9" s="135">
        <f>M9-R9</f>
        <v>0</v>
      </c>
    </row>
    <row r="10" spans="1:19" ht="15.75">
      <c r="A10" s="131"/>
      <c r="B10" s="132"/>
      <c r="C10" s="133"/>
      <c r="D10" s="133"/>
      <c r="E10" s="133">
        <f>SUM(C10:D10)</f>
        <v>0</v>
      </c>
      <c r="F10" s="133"/>
      <c r="G10" s="133"/>
      <c r="H10" s="133">
        <f>SUM(F10:G10)</f>
        <v>0</v>
      </c>
      <c r="I10" s="134">
        <f>E10-H10</f>
        <v>0</v>
      </c>
      <c r="J10" s="133">
        <v>0</v>
      </c>
      <c r="K10" s="133">
        <v>0</v>
      </c>
      <c r="L10" s="133">
        <v>0</v>
      </c>
      <c r="M10" s="133">
        <f>H10+J10+K10+L10</f>
        <v>0</v>
      </c>
      <c r="N10" s="133"/>
      <c r="O10" s="133"/>
      <c r="P10" s="133"/>
      <c r="Q10" s="134">
        <v>0</v>
      </c>
      <c r="R10" s="133">
        <f>SUM(N10:Q10)</f>
        <v>0</v>
      </c>
      <c r="S10" s="135">
        <f>M10-R10</f>
        <v>0</v>
      </c>
    </row>
    <row r="11" spans="1:19" ht="16.5" thickBot="1">
      <c r="A11" s="136"/>
      <c r="B11" s="137" t="s">
        <v>166</v>
      </c>
      <c r="C11" s="138">
        <f aca="true" t="shared" si="0" ref="C11:R11">SUM(C6:C10)</f>
        <v>117147.75</v>
      </c>
      <c r="D11" s="138">
        <f t="shared" si="0"/>
        <v>7707.06</v>
      </c>
      <c r="E11" s="138">
        <f t="shared" si="0"/>
        <v>124854.81</v>
      </c>
      <c r="F11" s="138">
        <f t="shared" si="0"/>
        <v>143689.57</v>
      </c>
      <c r="G11" s="138">
        <f t="shared" si="0"/>
        <v>8497.37</v>
      </c>
      <c r="H11" s="138">
        <f t="shared" si="0"/>
        <v>152186.94</v>
      </c>
      <c r="I11" s="138">
        <f t="shared" si="0"/>
        <v>-27332.130000000005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152186.94</v>
      </c>
      <c r="N11" s="138">
        <f t="shared" si="0"/>
        <v>12913.82</v>
      </c>
      <c r="O11" s="138">
        <f t="shared" si="0"/>
        <v>92638.79000000001</v>
      </c>
      <c r="P11" s="138">
        <f t="shared" si="0"/>
        <v>0</v>
      </c>
      <c r="Q11" s="138">
        <f t="shared" si="0"/>
        <v>0</v>
      </c>
      <c r="R11" s="138">
        <f t="shared" si="0"/>
        <v>105552.61000000002</v>
      </c>
      <c r="S11" s="139">
        <f>A6+SUM(S6:S10)</f>
        <v>-297376.57999999996</v>
      </c>
    </row>
    <row r="12" spans="1:19" ht="15.7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</row>
    <row r="13" spans="1:19" ht="15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ht="16.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P14" s="141"/>
      <c r="Q14" s="141"/>
      <c r="R14" s="141"/>
      <c r="S14" s="142"/>
    </row>
    <row r="15" spans="1:19" ht="16.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P15" s="141"/>
      <c r="Q15" s="141"/>
      <c r="R15" s="141"/>
      <c r="S15" s="141"/>
    </row>
    <row r="16" spans="1:19" ht="18.75">
      <c r="A16" s="143"/>
      <c r="B16" s="232" t="s">
        <v>167</v>
      </c>
      <c r="C16" s="232"/>
      <c r="D16" s="232"/>
      <c r="E16" s="232"/>
      <c r="F16" s="232" t="s">
        <v>168</v>
      </c>
      <c r="G16" s="232"/>
      <c r="H16" s="232"/>
      <c r="I16" s="232"/>
      <c r="J16" s="143"/>
      <c r="K16" s="143"/>
      <c r="L16" s="143"/>
      <c r="M16" s="143"/>
      <c r="N16" s="143"/>
      <c r="O16" s="143"/>
      <c r="P16" s="143"/>
      <c r="Q16" s="143"/>
      <c r="R16" s="143"/>
      <c r="S16" s="143"/>
    </row>
    <row r="17" spans="1:19" ht="18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ht="15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</row>
    <row r="19" spans="1:19" ht="18.75">
      <c r="A19" s="140"/>
      <c r="B19" s="144" t="s">
        <v>169</v>
      </c>
      <c r="C19" s="140"/>
      <c r="D19" s="140"/>
      <c r="E19" s="140"/>
      <c r="F19" s="232" t="s">
        <v>170</v>
      </c>
      <c r="G19" s="232"/>
      <c r="H19" s="232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</row>
    <row r="20" spans="1:19" ht="15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</row>
    <row r="23" spans="2:3" ht="15.75">
      <c r="B23" s="231" t="s">
        <v>159</v>
      </c>
      <c r="C23" s="231"/>
    </row>
    <row r="24" spans="2:3" ht="15.75">
      <c r="B24" s="231" t="s">
        <v>160</v>
      </c>
      <c r="C24" s="231"/>
    </row>
  </sheetData>
  <mergeCells count="24">
    <mergeCell ref="B24:C24"/>
    <mergeCell ref="B16:E16"/>
    <mergeCell ref="F16:I16"/>
    <mergeCell ref="F19:H19"/>
    <mergeCell ref="B23:C23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2013-03-01T04:13:14Z</cp:lastPrinted>
  <dcterms:created xsi:type="dcterms:W3CDTF">2009-08-26T03:25:10Z</dcterms:created>
  <dcterms:modified xsi:type="dcterms:W3CDTF">2013-05-14T04:37:23Z</dcterms:modified>
  <cp:category/>
  <cp:version/>
  <cp:contentType/>
  <cp:contentStatus/>
</cp:coreProperties>
</file>