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4" activeTab="4"/>
  </bookViews>
  <sheets>
    <sheet name="отчет 2011" sheetId="1" state="hidden" r:id="rId1"/>
    <sheet name="План 2012" sheetId="2" state="hidden" r:id="rId2"/>
    <sheet name="План 07.12." sheetId="3" state="hidden" r:id="rId3"/>
    <sheet name="план 2013" sheetId="4" state="hidden" r:id="rId4"/>
    <sheet name="отчет 2012 новый" sheetId="5" r:id="rId5"/>
    <sheet name="накопит отчет новый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<sst xmlns="http://schemas.openxmlformats.org/spreadsheetml/2006/main" count="469" uniqueCount="172">
  <si>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</si>
  <si>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</si>
  <si>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</si>
  <si>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</si>
  <si>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</si>
  <si>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</si>
  <si>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</si>
  <si>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</si>
  <si>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</si>
  <si>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</si>
  <si>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</si>
  <si>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</si>
  <si>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</si>
  <si>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</si>
  <si>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</si>
  <si>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</si>
  <si>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</si>
  <si>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</si>
  <si>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</si>
  <si>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</si>
  <si>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</si>
  <si>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</si>
  <si>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</si>
  <si>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</si>
  <si>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</si>
  <si>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</si>
  <si>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</si>
  <si>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</si>
  <si>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</si>
  <si>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</si>
  <si>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</si>
  <si>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</si>
  <si>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Директор</t>
  </si>
  <si>
    <t>Н.Ф. Шестаева</t>
  </si>
  <si>
    <t>ООО "СЦ СОЖ"</t>
  </si>
  <si>
    <t>Претензий по управлению нет (да).</t>
  </si>
  <si>
    <t xml:space="preserve"> Короленко, 132</t>
  </si>
  <si>
    <t>Адрес:</t>
  </si>
  <si>
    <t>Принято: старший по дому</t>
  </si>
  <si>
    <t>1.</t>
  </si>
  <si>
    <t>2.</t>
  </si>
  <si>
    <t>кв.м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</si>
  <si>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</si>
  <si>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</si>
  <si>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</si>
  <si>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Затраты на содержание общедомового имущества:</t>
  </si>
  <si>
    <t>Обязательные работы, в том числе:</t>
  </si>
  <si>
    <t>1 раз/неделю - подметание
1 раз/месяц 
влажная уборка</t>
  </si>
  <si>
    <t xml:space="preserve"> Итого затрат: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</si>
  <si>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</si>
  <si>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</si>
  <si>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</si>
  <si>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</si>
  <si>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</si>
  <si>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</si>
  <si>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</si>
  <si>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</si>
  <si>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</si>
  <si>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</si>
  <si>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</si>
  <si>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</si>
  <si>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</si>
  <si>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</si>
  <si>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>Сбор, вывоз  бытового мусора, содержание  контейнерных площадок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</si>
  <si>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</si>
  <si>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</si>
  <si>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</si>
  <si>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</si>
  <si>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</si>
  <si>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</si>
  <si>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</si>
  <si>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</si>
  <si>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</si>
  <si>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</si>
  <si>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</si>
  <si>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</si>
  <si>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</si>
  <si>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</si>
  <si>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</si>
  <si>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</si>
  <si>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</si>
  <si>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</si>
  <si>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</si>
  <si>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</si>
  <si>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</si>
  <si>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</si>
  <si>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</si>
  <si>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</si>
  <si>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</si>
  <si>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</si>
  <si>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</si>
  <si>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</si>
  <si>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</si>
  <si>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</si>
  <si>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</si>
  <si>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</si>
  <si>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</si>
  <si>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</si>
  <si>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</si>
  <si>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</si>
  <si>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</si>
  <si>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</si>
  <si>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>Сбор, вывоз  бытового мусора, содержание  контейнерных площадок</t>
    </r>
    <r>
      <rPr>
        <sz val="12"/>
        <color indexed="10"/>
        <rFont val="Times New Roman"/>
        <family val="1"/>
      </rPr>
      <t xml:space="preserve"> </t>
    </r>
  </si>
  <si>
    <t>по договору</t>
  </si>
  <si>
    <t>Обслуживание  бойлеров</t>
  </si>
  <si>
    <t>Всего затрат:</t>
  </si>
  <si>
    <t xml:space="preserve">      Представитель собственников  - старший по дому _________________, с одной стороны и Общество с Ограниченной Ответственностью "Центр Сервис СОЖ" в лице директора Шестаевой Н.Ф., действующей на основании Устава,  с другой стороны, составили настоящий отчет о выполненных работах  в  2011г.      </t>
  </si>
  <si>
    <t>ОТЧЕТ
за  2011 г. о выполнении условий  договора управления МКД № 21/7 от 28.03.08, заключенного между ООО "Сервис Центр СОЖ" и собственниками многоквартирного дома
по адресу:  ул. Короленко, 132</t>
  </si>
  <si>
    <t xml:space="preserve">Финансовый результат за 2011г. (+ экономия,- перерасход)                                                      </t>
  </si>
  <si>
    <t xml:space="preserve">Капитальный ремонт  </t>
  </si>
  <si>
    <t>Справочно: индекс увеличения тарифа по году 103%:</t>
  </si>
  <si>
    <t xml:space="preserve">              Подъезд № 1 кв. № 1-15 уборка не производится по заявлению жителей с 01.09.2011г.</t>
  </si>
  <si>
    <t xml:space="preserve">              Подъезд № 4 кв. № 46-60 уборка не производится по заявлению жителей с 01.06.2011г.</t>
  </si>
  <si>
    <t xml:space="preserve">              Подъезд № 3 кв. № 31-45 уборка не производится по заявлению жителей с 01.10.2011г.</t>
  </si>
  <si>
    <t>Смета доходов и расходов  на  2012 г.
согласно договора управления МКД № 21/7 от 28.03.08, заключенного между ООО "Сервис Центр СОЖ" и собственниками многоквартирного дома
по адресу:  ул. Короленко, 132</t>
  </si>
  <si>
    <t>- с 1 января 2012г. Тариф остается на уровне 2011г.-10,58 руб.</t>
  </si>
  <si>
    <t>- с 1 июля 2012г. к Тарифу применен индекс 106%. -11,21 руб.</t>
  </si>
  <si>
    <t xml:space="preserve"> Текущий ремонт общего имущества                             по плану работ </t>
  </si>
  <si>
    <t>по плану работ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</si>
  <si>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</si>
  <si>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</si>
  <si>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1.2.</t>
  </si>
  <si>
    <t>1.3.</t>
  </si>
  <si>
    <t xml:space="preserve">Директор ООО "СЦ СОЖ"                                                                       </t>
  </si>
  <si>
    <t xml:space="preserve">     Представитель Собственников</t>
  </si>
  <si>
    <t>________________ Н.Ф.Шестаева</t>
  </si>
  <si>
    <t xml:space="preserve">            ________________________</t>
  </si>
  <si>
    <t xml:space="preserve"> Текущий ремонт общего имущества                             </t>
  </si>
  <si>
    <t>* в случае уточнения площадей возможно изменение стоимости</t>
  </si>
  <si>
    <t>Подъезд № 1,3,4 кв. № 1-15, 31-60 уборка не производится по заявлению жителей с 01.06.2011г.</t>
  </si>
  <si>
    <t>подметание асфальта -   1 раз/неделю,                
подбор мусора - ежедневно</t>
  </si>
  <si>
    <t>Тариф с 1 октября 2012 г. - 11,21 руб., капитальный ремонт - 0,80 руб.</t>
  </si>
  <si>
    <t>Тариф 
на 
1 кв.м. октябрь-декабрь 2012г.
руб.</t>
  </si>
  <si>
    <t>Стоимость работ
октябрь-декабрь 2012г.                      руб.</t>
  </si>
  <si>
    <t>5=гр.4*Sдома*3мес.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</si>
  <si>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</si>
  <si>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</si>
  <si>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</si>
  <si>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</si>
  <si>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</si>
  <si>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</si>
  <si>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</si>
  <si>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</si>
  <si>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</si>
  <si>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по плану работ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</si>
  <si>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</si>
  <si>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</si>
  <si>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</si>
  <si>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Смета доходов и расходов  на  2013 г.
согласно договора на оказание услуг МКД № 12/7 от 14.09.12 г., заключенного между ООО "СЦ СОЖ" и собственниками многоквартирного дома
по адресу:  ул. Короленко, 132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</si>
  <si>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01.10.12г. по 31.12.12 г.  </t>
  </si>
  <si>
    <t>Тариф 01.10.12г-31.12.12г.</t>
  </si>
  <si>
    <t>Сумма с 01.10.12г.-31.12.12г., руб.</t>
  </si>
  <si>
    <t>кол-во мес по нов. дог-ру</t>
  </si>
  <si>
    <t>Сбор, вывоз  бытового мусора, содержание контейнерных площадок</t>
  </si>
  <si>
    <t xml:space="preserve">Финансовый результат с 01.10.12 - 31.12.12г. (+ экономия,- перерасход)                                                      </t>
  </si>
  <si>
    <t xml:space="preserve">Директор ООО "Сервис-Центр "СОЖ"                                         Н.Ф. Шестаева                              </t>
  </si>
  <si>
    <t>Принято:</t>
  </si>
  <si>
    <t>Совет МКД                                           ________________________</t>
  </si>
  <si>
    <t>Претензий по обслуживанию нет (да)</t>
  </si>
  <si>
    <t>ОТЧЕТ
с 01.10.12г. по 31.12.12г. о выполнении условий договора  на оказание услуг МКД 
№ 12/7 от 14.09.12 г., заключенного между ООО "СЦ СОЖ" и собственниками многоквартирного дома
по адресу:  ул. Короленко, 132</t>
  </si>
  <si>
    <t>Короленко, 132</t>
  </si>
  <si>
    <t>Сальдо
 на 01.10
+экономия
-перерасход</t>
  </si>
  <si>
    <t>результат
 за год
(+эконом., 
-перерасх.)</t>
  </si>
  <si>
    <t>с 01.10.12г.</t>
  </si>
  <si>
    <t>Итого</t>
  </si>
  <si>
    <t xml:space="preserve">Директор ООО "Сервис-Центр "СОЖ"                                 </t>
  </si>
  <si>
    <t xml:space="preserve">____________ Н.Ф. Шестаева                               </t>
  </si>
  <si>
    <t>Совет МКД</t>
  </si>
  <si>
    <t>_______________/___________/</t>
  </si>
  <si>
    <t>ОТЧЕТ
по  договору оказания услуг МКД 
№ 12/7 от 14.09.12 г., заключенного между ООО "Сервис-Центр СОЖ" и собственниками многоквартирного дома
по адресу:  ул. Короленко, 132</t>
  </si>
  <si>
    <t>Исполнитель:</t>
  </si>
  <si>
    <t>Аверина А.А.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</si>
</sst>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  <numFmt numFmtId="173" formatCode="#,##0.000_ ;[Red]\-#,##0.000\ "/>
    <numFmt numFmtId="174" formatCode="#,##0.0000_ ;[Red]\-#,##0.0000\ "/>
    <numFmt numFmtId="175" formatCode="_-* #,##0.0_р_._-;\-* #,##0.0_р_._-;_-* &quot;-&quot;??_р_._-;_-@_-"/>
    <numFmt numFmtId="176" formatCode="_-* #,##0_р_._-;\-* #,##0_р_._-;_-* &quot;-&quot;??_р_._-;_-@_-"/>
  </numFmts>
  <fonts count="1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2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2" fillId="0" borderId="16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3" fontId="2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64" fontId="8" fillId="0" borderId="14" xfId="0" applyNumberFormat="1" applyFont="1" applyBorder="1" applyAlignment="1">
      <alignment horizontal="center" vertical="center" wrapText="1"/>
    </xf>
    <xf numFmtId="171" fontId="8" fillId="0" borderId="16" xfId="0" applyNumberFormat="1" applyFont="1" applyBorder="1" applyAlignment="1">
      <alignment horizontal="center" vertical="center" wrapText="1"/>
    </xf>
    <xf numFmtId="171" fontId="8" fillId="0" borderId="9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164" fontId="6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4" fontId="0" fillId="3" borderId="5" xfId="0" applyNumberFormat="1" applyFill="1" applyBorder="1" applyAlignment="1">
      <alignment/>
    </xf>
    <xf numFmtId="0" fontId="2" fillId="3" borderId="1" xfId="0" applyFont="1" applyFill="1" applyBorder="1" applyAlignment="1">
      <alignment/>
    </xf>
    <xf numFmtId="4" fontId="0" fillId="3" borderId="1" xfId="0" applyNumberFormat="1" applyFill="1" applyBorder="1" applyAlignment="1">
      <alignment/>
    </xf>
    <xf numFmtId="4" fontId="0" fillId="3" borderId="1" xfId="0" applyNumberFormat="1" applyFill="1" applyBorder="1" applyAlignment="1">
      <alignment horizontal="center"/>
    </xf>
    <xf numFmtId="4" fontId="0" fillId="3" borderId="3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2" fillId="3" borderId="6" xfId="0" applyFont="1" applyFill="1" applyBorder="1" applyAlignment="1">
      <alignment/>
    </xf>
    <xf numFmtId="4" fontId="2" fillId="3" borderId="6" xfId="0" applyNumberFormat="1" applyFont="1" applyFill="1" applyBorder="1" applyAlignment="1">
      <alignment/>
    </xf>
    <xf numFmtId="4" fontId="2" fillId="3" borderId="12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left" wrapText="1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2" fillId="0" borderId="22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  <xf numFmtId="0" fontId="5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101;&#1082;&#1086;&#1085;&#1086;&#1084;&#1080;&#1089;&#1090;&#1099;\&#1059;&#1063;&#1045;&#1058;%20&#1055;&#1054;%20&#1050;&#1040;&#1046;&#1044;&#1054;&#1052;&#1059;%20&#1044;&#1054;&#1052;&#1059;%202010\&#1086;&#1090;&#1095;&#1077;&#1090;%20&#1087;&#1086;%20&#1076;&#1086;&#1084;&#1072;&#1084;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B12" sqref="B12:F12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2.00390625" style="0" customWidth="1"/>
    <col min="6" max="6" width="18.00390625" style="0" hidden="1" customWidth="1"/>
    <col min="7" max="7" width="6.75390625" style="0" hidden="1" customWidth="1"/>
    <col min="8" max="8" width="14.625" style="0" customWidth="1"/>
    <col min="9" max="9" width="11.25390625" style="0" customWidth="1"/>
    <col min="10" max="10" width="11.50390625" style="0" customWidth="1"/>
  </cols>
  <sheetData>
    <row r="1" spans="1:8" ht="102" customHeight="1">
      <c r="A1" s="155" t="s">
        <v>107</v>
      </c>
      <c r="B1" s="155"/>
      <c r="C1" s="155"/>
      <c r="D1" s="155"/>
      <c r="E1" s="155"/>
      <c r="F1" s="155"/>
      <c r="G1" s="155"/>
      <c r="H1" s="155"/>
    </row>
    <row r="2" spans="1:8" ht="61.5" customHeight="1">
      <c r="A2" s="156" t="s">
        <v>106</v>
      </c>
      <c r="B2" s="156"/>
      <c r="C2" s="156"/>
      <c r="D2" s="156"/>
      <c r="E2" s="156"/>
      <c r="F2" s="156"/>
      <c r="G2" s="156"/>
      <c r="H2" s="156"/>
    </row>
    <row r="3" spans="1:9" ht="18.75">
      <c r="A3" t="s">
        <v>37</v>
      </c>
      <c r="B3" s="1" t="s">
        <v>36</v>
      </c>
      <c r="C3" s="2"/>
      <c r="D3" s="2" t="s">
        <v>0</v>
      </c>
      <c r="E3" s="4">
        <v>2715.5</v>
      </c>
      <c r="F3" s="2"/>
      <c r="I3" s="35">
        <v>0</v>
      </c>
    </row>
    <row r="4" spans="2:9" ht="15.75">
      <c r="B4" s="3" t="s">
        <v>1</v>
      </c>
      <c r="C4" s="16">
        <v>5</v>
      </c>
      <c r="D4" s="2" t="s">
        <v>2</v>
      </c>
      <c r="E4" s="16">
        <v>60</v>
      </c>
      <c r="F4" s="2"/>
      <c r="I4" t="s">
        <v>41</v>
      </c>
    </row>
    <row r="5" spans="2:9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  <c r="I5" s="2" t="s">
        <v>49</v>
      </c>
    </row>
    <row r="6" spans="2:9" ht="15.75">
      <c r="B6" s="3"/>
      <c r="C6" s="4"/>
      <c r="D6" s="2" t="s">
        <v>5</v>
      </c>
      <c r="E6" s="2" t="s">
        <v>15</v>
      </c>
      <c r="F6" s="2"/>
      <c r="G6" s="2"/>
      <c r="I6" t="s">
        <v>50</v>
      </c>
    </row>
    <row r="7" spans="1:10" ht="60" customHeight="1">
      <c r="A7" s="12" t="s">
        <v>31</v>
      </c>
      <c r="B7" s="157" t="s">
        <v>51</v>
      </c>
      <c r="C7" s="158"/>
      <c r="D7" s="159"/>
      <c r="E7" s="6" t="s">
        <v>6</v>
      </c>
      <c r="F7" s="6" t="s">
        <v>7</v>
      </c>
      <c r="G7" s="37" t="s">
        <v>20</v>
      </c>
      <c r="H7" s="160" t="s">
        <v>52</v>
      </c>
      <c r="I7" s="161"/>
      <c r="J7" s="162"/>
    </row>
    <row r="8" spans="1:10" ht="15.75" customHeight="1">
      <c r="A8" s="13">
        <v>1</v>
      </c>
      <c r="B8" s="146"/>
      <c r="C8" s="147"/>
      <c r="D8" s="147"/>
      <c r="E8" s="147"/>
      <c r="F8" s="148"/>
      <c r="G8" s="38"/>
      <c r="H8" s="39" t="s">
        <v>53</v>
      </c>
      <c r="I8" s="40" t="s">
        <v>54</v>
      </c>
      <c r="J8" s="40" t="s">
        <v>55</v>
      </c>
    </row>
    <row r="9" spans="1:10" ht="15.75" customHeight="1">
      <c r="A9" s="13"/>
      <c r="B9" s="146" t="s">
        <v>56</v>
      </c>
      <c r="C9" s="147"/>
      <c r="D9" s="147"/>
      <c r="E9" s="147"/>
      <c r="F9" s="148"/>
      <c r="G9" s="39"/>
      <c r="H9" s="39"/>
      <c r="I9" s="23"/>
      <c r="J9" s="40"/>
    </row>
    <row r="10" spans="1:10" ht="15.75">
      <c r="A10" s="41"/>
      <c r="B10" s="149" t="s">
        <v>57</v>
      </c>
      <c r="C10" s="149"/>
      <c r="D10" s="149"/>
      <c r="E10" s="149"/>
      <c r="F10" s="149"/>
      <c r="G10" s="8"/>
      <c r="H10" s="42">
        <v>317949.75</v>
      </c>
      <c r="I10" s="28"/>
      <c r="J10" s="43">
        <f>H10+I10</f>
        <v>317949.75</v>
      </c>
    </row>
    <row r="11" spans="1:10" ht="15.75">
      <c r="A11" s="41"/>
      <c r="B11" s="149" t="s">
        <v>58</v>
      </c>
      <c r="C11" s="149"/>
      <c r="D11" s="149"/>
      <c r="E11" s="149"/>
      <c r="F11" s="149"/>
      <c r="G11" s="8"/>
      <c r="H11" s="9">
        <v>18596.07</v>
      </c>
      <c r="I11" s="28"/>
      <c r="J11" s="43">
        <f>H11+I11</f>
        <v>18596.07</v>
      </c>
    </row>
    <row r="12" spans="1:10" ht="15.75" customHeight="1">
      <c r="A12" s="13"/>
      <c r="B12" s="149" t="s">
        <v>59</v>
      </c>
      <c r="C12" s="149"/>
      <c r="D12" s="149"/>
      <c r="E12" s="149"/>
      <c r="F12" s="149"/>
      <c r="G12" s="8"/>
      <c r="H12" s="42"/>
      <c r="I12" s="44">
        <v>0</v>
      </c>
      <c r="J12" s="43">
        <f>H12+I12</f>
        <v>0</v>
      </c>
    </row>
    <row r="13" spans="1:10" ht="15.75" customHeight="1">
      <c r="A13" s="13"/>
      <c r="B13" s="149" t="s">
        <v>60</v>
      </c>
      <c r="C13" s="149"/>
      <c r="D13" s="149"/>
      <c r="E13" s="149"/>
      <c r="F13" s="149"/>
      <c r="G13" s="8"/>
      <c r="H13" s="42"/>
      <c r="I13" s="44">
        <v>0</v>
      </c>
      <c r="J13" s="43">
        <f>H13+I13</f>
        <v>0</v>
      </c>
    </row>
    <row r="14" spans="1:10" ht="15.75" customHeight="1">
      <c r="A14" s="13"/>
      <c r="B14" s="150" t="s">
        <v>61</v>
      </c>
      <c r="C14" s="150"/>
      <c r="D14" s="150"/>
      <c r="E14" s="150"/>
      <c r="F14" s="150"/>
      <c r="G14" s="8"/>
      <c r="H14" s="20">
        <f>SUM(H10:H12)</f>
        <v>336545.82</v>
      </c>
      <c r="I14" s="45">
        <f>SUM(I10:I12)</f>
        <v>0</v>
      </c>
      <c r="J14" s="20">
        <f>SUM(J10:J13)</f>
        <v>336545.82</v>
      </c>
    </row>
    <row r="15" spans="1:10" ht="15.75" customHeight="1">
      <c r="A15" s="13">
        <v>2</v>
      </c>
      <c r="B15" s="151" t="s">
        <v>45</v>
      </c>
      <c r="C15" s="151"/>
      <c r="D15" s="151"/>
      <c r="E15" s="151"/>
      <c r="F15" s="151"/>
      <c r="G15" s="8"/>
      <c r="H15" s="42"/>
      <c r="I15" s="28"/>
      <c r="J15" s="24"/>
    </row>
    <row r="16" spans="1:10" ht="18.75" customHeight="1">
      <c r="A16" s="13" t="s">
        <v>62</v>
      </c>
      <c r="B16" s="10" t="s">
        <v>46</v>
      </c>
      <c r="C16" s="10"/>
      <c r="D16" s="10"/>
      <c r="E16" s="10"/>
      <c r="F16" s="5"/>
      <c r="G16" s="46"/>
      <c r="H16" s="46"/>
      <c r="I16" s="36"/>
      <c r="J16" s="40"/>
    </row>
    <row r="17" spans="1:10" ht="31.5">
      <c r="A17" s="47"/>
      <c r="B17" s="152" t="s">
        <v>63</v>
      </c>
      <c r="C17" s="152"/>
      <c r="D17" s="152"/>
      <c r="E17" s="48" t="s">
        <v>28</v>
      </c>
      <c r="F17" s="30" t="s">
        <v>22</v>
      </c>
      <c r="G17" s="31">
        <v>1.06</v>
      </c>
      <c r="H17" s="49">
        <f>ROUND(G17*$E$3*12,2)</f>
        <v>34541.16</v>
      </c>
      <c r="I17" s="50">
        <f>$I$12*0.08</f>
        <v>0</v>
      </c>
      <c r="J17" s="51">
        <f>SUM(H17:I17)</f>
        <v>34541.16</v>
      </c>
    </row>
    <row r="18" spans="1:10" ht="15.75" customHeight="1">
      <c r="A18" s="13"/>
      <c r="B18" s="153" t="s">
        <v>16</v>
      </c>
      <c r="C18" s="153"/>
      <c r="D18" s="153"/>
      <c r="E18" s="48" t="s">
        <v>28</v>
      </c>
      <c r="F18" s="30" t="s">
        <v>17</v>
      </c>
      <c r="G18" s="31">
        <v>0.28</v>
      </c>
      <c r="H18" s="49">
        <f>ROUND(G18*$E$3*12,2)</f>
        <v>9124.08</v>
      </c>
      <c r="I18" s="50">
        <f>$I$12*0.02</f>
        <v>0</v>
      </c>
      <c r="J18" s="51">
        <f>SUM(H18:I18)</f>
        <v>9124.08</v>
      </c>
    </row>
    <row r="19" spans="1:10" ht="15.75" customHeight="1">
      <c r="A19" s="13"/>
      <c r="B19" s="154" t="s">
        <v>21</v>
      </c>
      <c r="C19" s="154"/>
      <c r="D19" s="154"/>
      <c r="E19" s="52" t="s">
        <v>64</v>
      </c>
      <c r="F19" s="32" t="s">
        <v>18</v>
      </c>
      <c r="G19" s="31">
        <v>0.39</v>
      </c>
      <c r="H19" s="49">
        <f>J19-I19</f>
        <v>11386.59</v>
      </c>
      <c r="I19" s="50">
        <f>$I$12*0.07</f>
        <v>0</v>
      </c>
      <c r="J19" s="53">
        <v>11386.59</v>
      </c>
    </row>
    <row r="20" spans="1:10" ht="33" customHeight="1">
      <c r="A20" s="47"/>
      <c r="B20" s="152" t="s">
        <v>27</v>
      </c>
      <c r="C20" s="152"/>
      <c r="D20" s="152"/>
      <c r="E20" s="54" t="s">
        <v>8</v>
      </c>
      <c r="F20" s="33" t="s">
        <v>9</v>
      </c>
      <c r="G20" s="31">
        <v>0.51</v>
      </c>
      <c r="H20" s="49">
        <f>ROUND(G20*$E$3*12,2)</f>
        <v>16618.86</v>
      </c>
      <c r="I20" s="50">
        <f>$I$12*0.04</f>
        <v>0</v>
      </c>
      <c r="J20" s="51">
        <f>SUM(H20:I20)</f>
        <v>16618.86</v>
      </c>
    </row>
    <row r="21" spans="1:10" ht="38.25">
      <c r="A21" s="13"/>
      <c r="B21" s="154" t="s">
        <v>25</v>
      </c>
      <c r="C21" s="154"/>
      <c r="D21" s="154"/>
      <c r="E21" s="52" t="s">
        <v>65</v>
      </c>
      <c r="F21" s="32" t="s">
        <v>23</v>
      </c>
      <c r="G21" s="31">
        <v>0.12</v>
      </c>
      <c r="H21" s="49">
        <f>J21-I21</f>
        <v>3609.43</v>
      </c>
      <c r="I21" s="50">
        <f>$I$12*0.01</f>
        <v>0</v>
      </c>
      <c r="J21" s="53">
        <v>3609.43</v>
      </c>
    </row>
    <row r="22" spans="1:10" ht="31.5">
      <c r="A22" s="47"/>
      <c r="B22" s="154" t="s">
        <v>10</v>
      </c>
      <c r="C22" s="154"/>
      <c r="D22" s="154"/>
      <c r="E22" s="52" t="s">
        <v>8</v>
      </c>
      <c r="F22" s="32" t="s">
        <v>11</v>
      </c>
      <c r="G22" s="31">
        <v>0</v>
      </c>
      <c r="H22" s="49">
        <f>J22-I22</f>
        <v>0</v>
      </c>
      <c r="I22" s="50">
        <f>$I$12*0.15</f>
        <v>0</v>
      </c>
      <c r="J22" s="53">
        <f>G22*E3*12</f>
        <v>0</v>
      </c>
    </row>
    <row r="23" spans="1:10" ht="15.75" customHeight="1">
      <c r="A23" s="47"/>
      <c r="B23" s="154" t="s">
        <v>24</v>
      </c>
      <c r="C23" s="144"/>
      <c r="D23" s="144"/>
      <c r="E23" s="55" t="s">
        <v>12</v>
      </c>
      <c r="F23" s="29" t="s">
        <v>13</v>
      </c>
      <c r="G23" s="31">
        <v>0.05</v>
      </c>
      <c r="H23" s="49">
        <f>J23-I23</f>
        <v>3643.8</v>
      </c>
      <c r="I23" s="50">
        <f>$I$12*0.003</f>
        <v>0</v>
      </c>
      <c r="J23" s="53">
        <v>3643.8</v>
      </c>
    </row>
    <row r="24" spans="1:10" ht="36.75" customHeight="1">
      <c r="A24" s="13"/>
      <c r="B24" s="154" t="s">
        <v>66</v>
      </c>
      <c r="C24" s="154"/>
      <c r="D24" s="154"/>
      <c r="E24" s="48" t="s">
        <v>29</v>
      </c>
      <c r="F24" s="56" t="s">
        <v>67</v>
      </c>
      <c r="G24" s="31">
        <v>2.15</v>
      </c>
      <c r="H24" s="49">
        <f aca="true" t="shared" si="0" ref="H24:H29">ROUND(G24*$E$3*12,2)</f>
        <v>70059.9</v>
      </c>
      <c r="I24" s="50">
        <f>$I$12*0.19</f>
        <v>0</v>
      </c>
      <c r="J24" s="51">
        <f aca="true" t="shared" si="1" ref="J24:J29">SUM(H24:I24)</f>
        <v>70059.9</v>
      </c>
    </row>
    <row r="25" spans="1:10" ht="25.5">
      <c r="A25" s="13"/>
      <c r="B25" s="153" t="s">
        <v>14</v>
      </c>
      <c r="C25" s="153"/>
      <c r="D25" s="153"/>
      <c r="E25" s="48" t="s">
        <v>29</v>
      </c>
      <c r="F25" s="56" t="s">
        <v>67</v>
      </c>
      <c r="G25" s="31">
        <v>0.44</v>
      </c>
      <c r="H25" s="57">
        <f>ROUND(G25*(($E$3*12)-(E3/4*4+E3/4*7+E3/4*3)),2)</f>
        <v>10155.97</v>
      </c>
      <c r="I25" s="50">
        <v>0</v>
      </c>
      <c r="J25" s="51">
        <f t="shared" si="1"/>
        <v>10155.97</v>
      </c>
    </row>
    <row r="26" spans="1:10" ht="25.5">
      <c r="A26" s="13"/>
      <c r="B26" s="145" t="s">
        <v>30</v>
      </c>
      <c r="C26" s="163"/>
      <c r="D26" s="164"/>
      <c r="E26" s="48" t="s">
        <v>29</v>
      </c>
      <c r="F26" s="56" t="s">
        <v>67</v>
      </c>
      <c r="G26" s="58">
        <f>3.46-G27-G28</f>
        <v>3.46</v>
      </c>
      <c r="H26" s="57">
        <f t="shared" si="0"/>
        <v>112747.56</v>
      </c>
      <c r="I26" s="59">
        <f>$I$12*0.18</f>
        <v>0</v>
      </c>
      <c r="J26" s="51">
        <f t="shared" si="1"/>
        <v>112747.56</v>
      </c>
    </row>
    <row r="27" spans="1:10" ht="31.5" customHeight="1">
      <c r="A27" s="47"/>
      <c r="B27" s="154" t="s">
        <v>68</v>
      </c>
      <c r="C27" s="154"/>
      <c r="D27" s="154"/>
      <c r="E27" s="48" t="s">
        <v>29</v>
      </c>
      <c r="F27" s="56" t="s">
        <v>67</v>
      </c>
      <c r="G27" s="58">
        <v>0</v>
      </c>
      <c r="H27" s="57">
        <f t="shared" si="0"/>
        <v>0</v>
      </c>
      <c r="I27" s="59">
        <f>$I$12*0.02</f>
        <v>0</v>
      </c>
      <c r="J27" s="51">
        <f t="shared" si="1"/>
        <v>0</v>
      </c>
    </row>
    <row r="28" spans="1:10" ht="15.75">
      <c r="A28" s="13"/>
      <c r="B28" s="154" t="s">
        <v>69</v>
      </c>
      <c r="C28" s="154"/>
      <c r="D28" s="154"/>
      <c r="E28" s="52" t="s">
        <v>8</v>
      </c>
      <c r="F28" s="56" t="s">
        <v>67</v>
      </c>
      <c r="G28" s="58">
        <v>0</v>
      </c>
      <c r="H28" s="57">
        <f t="shared" si="0"/>
        <v>0</v>
      </c>
      <c r="I28" s="59">
        <f>$I$12*0.02</f>
        <v>0</v>
      </c>
      <c r="J28" s="51">
        <f t="shared" si="1"/>
        <v>0</v>
      </c>
    </row>
    <row r="29" spans="1:10" ht="25.5">
      <c r="A29" s="13"/>
      <c r="B29" s="144" t="s">
        <v>19</v>
      </c>
      <c r="C29" s="144"/>
      <c r="D29" s="144"/>
      <c r="E29" s="52" t="s">
        <v>29</v>
      </c>
      <c r="F29" s="56" t="s">
        <v>67</v>
      </c>
      <c r="G29" s="29">
        <v>1.06</v>
      </c>
      <c r="H29" s="49">
        <f t="shared" si="0"/>
        <v>34541.16</v>
      </c>
      <c r="I29" s="50">
        <f>$I$12*0.1</f>
        <v>0</v>
      </c>
      <c r="J29" s="51">
        <f t="shared" si="1"/>
        <v>34541.16</v>
      </c>
    </row>
    <row r="30" spans="1:10" ht="15.75" customHeight="1">
      <c r="A30" s="13"/>
      <c r="B30" s="165"/>
      <c r="C30" s="166"/>
      <c r="D30" s="167"/>
      <c r="E30" s="52"/>
      <c r="F30" s="56"/>
      <c r="G30" s="29"/>
      <c r="H30" s="57"/>
      <c r="I30" s="44"/>
      <c r="J30" s="60"/>
    </row>
    <row r="31" spans="1:10" ht="15.75">
      <c r="A31" s="13"/>
      <c r="B31" s="165"/>
      <c r="C31" s="166"/>
      <c r="D31" s="167"/>
      <c r="E31" s="52"/>
      <c r="F31" s="56"/>
      <c r="G31" s="29"/>
      <c r="H31" s="57"/>
      <c r="I31" s="44"/>
      <c r="J31" s="60"/>
    </row>
    <row r="32" spans="1:10" ht="15.75">
      <c r="A32" s="13"/>
      <c r="B32" s="169" t="s">
        <v>26</v>
      </c>
      <c r="C32" s="169"/>
      <c r="D32" s="169"/>
      <c r="E32" s="7"/>
      <c r="F32" s="56"/>
      <c r="G32" s="11">
        <f>SUM(G17:G29)</f>
        <v>9.520000000000001</v>
      </c>
      <c r="H32" s="18">
        <f>SUM(H17:H31)</f>
        <v>306428.51</v>
      </c>
      <c r="I32" s="61">
        <f>SUM(I17:I31)</f>
        <v>0</v>
      </c>
      <c r="J32" s="18">
        <f>SUM(J17:J31)</f>
        <v>306428.51</v>
      </c>
    </row>
    <row r="33" spans="1:10" ht="15.75">
      <c r="A33" s="13"/>
      <c r="B33" s="175" t="s">
        <v>70</v>
      </c>
      <c r="C33" s="163"/>
      <c r="D33" s="164"/>
      <c r="E33" s="52" t="s">
        <v>8</v>
      </c>
      <c r="F33" s="56"/>
      <c r="G33" s="29"/>
      <c r="H33" s="57"/>
      <c r="I33" s="44"/>
      <c r="J33" s="60"/>
    </row>
    <row r="34" spans="1:10" ht="25.5">
      <c r="A34" s="13"/>
      <c r="B34" s="175" t="s">
        <v>71</v>
      </c>
      <c r="C34" s="163"/>
      <c r="D34" s="164"/>
      <c r="E34" s="48" t="s">
        <v>29</v>
      </c>
      <c r="F34" s="56"/>
      <c r="G34" s="29"/>
      <c r="H34" s="57"/>
      <c r="I34" s="44"/>
      <c r="J34" s="60"/>
    </row>
    <row r="35" spans="1:10" ht="15.75">
      <c r="A35" s="13"/>
      <c r="B35" s="76"/>
      <c r="C35" s="77"/>
      <c r="D35" s="77"/>
      <c r="E35" s="78"/>
      <c r="F35" s="56"/>
      <c r="G35" s="11"/>
      <c r="H35" s="18"/>
      <c r="I35" s="61"/>
      <c r="J35" s="18"/>
    </row>
    <row r="36" spans="1:10" ht="15.75" customHeight="1">
      <c r="A36" s="13" t="s">
        <v>72</v>
      </c>
      <c r="B36" s="170" t="s">
        <v>73</v>
      </c>
      <c r="C36" s="171"/>
      <c r="D36" s="171"/>
      <c r="E36" s="172"/>
      <c r="F36" s="56" t="s">
        <v>67</v>
      </c>
      <c r="G36" s="14">
        <f>H36/E3/12</f>
        <v>0.8449947830356596</v>
      </c>
      <c r="H36" s="62">
        <v>27535</v>
      </c>
      <c r="I36" s="63">
        <v>0</v>
      </c>
      <c r="J36" s="20">
        <f>SUM(H36:I36)</f>
        <v>27535</v>
      </c>
    </row>
    <row r="37" spans="1:10" ht="15.75" customHeight="1">
      <c r="A37" s="15"/>
      <c r="B37" s="173" t="s">
        <v>48</v>
      </c>
      <c r="C37" s="173"/>
      <c r="D37" s="173"/>
      <c r="E37" s="173"/>
      <c r="F37" s="173"/>
      <c r="G37" s="11">
        <f>SUM(G32:G36)</f>
        <v>10.36499478303566</v>
      </c>
      <c r="H37" s="19">
        <f>SUM(H32:H36)</f>
        <v>333963.51</v>
      </c>
      <c r="I37" s="64">
        <f>SUM(I32:I36)</f>
        <v>0</v>
      </c>
      <c r="J37" s="19">
        <f>SUM(J32:J36)</f>
        <v>333963.51</v>
      </c>
    </row>
    <row r="38" spans="1:10" ht="15.75" customHeight="1">
      <c r="A38" s="13" t="s">
        <v>74</v>
      </c>
      <c r="B38" s="176" t="s">
        <v>75</v>
      </c>
      <c r="C38" s="176"/>
      <c r="D38" s="176"/>
      <c r="E38" s="176"/>
      <c r="F38" s="176"/>
      <c r="G38" s="14"/>
      <c r="H38" s="65">
        <v>0</v>
      </c>
      <c r="I38" s="65">
        <v>0</v>
      </c>
      <c r="J38" s="66">
        <f>SUM(H38:I38)</f>
        <v>0</v>
      </c>
    </row>
    <row r="39" spans="1:10" ht="19.5" customHeight="1">
      <c r="A39" s="15"/>
      <c r="B39" s="173" t="s">
        <v>76</v>
      </c>
      <c r="C39" s="173"/>
      <c r="D39" s="173"/>
      <c r="E39" s="173"/>
      <c r="F39" s="173"/>
      <c r="G39" s="11">
        <f>SUM(G37:G38)</f>
        <v>10.36499478303566</v>
      </c>
      <c r="H39" s="19">
        <f>SUM(H37:H38)</f>
        <v>333963.51</v>
      </c>
      <c r="I39" s="64">
        <f>SUM(I37:I38)</f>
        <v>0</v>
      </c>
      <c r="J39" s="19">
        <f>SUM(J37:J38)</f>
        <v>333963.51</v>
      </c>
    </row>
    <row r="40" spans="1:10" ht="15.75">
      <c r="A40" s="13">
        <v>3</v>
      </c>
      <c r="B40" s="145" t="s">
        <v>108</v>
      </c>
      <c r="C40" s="177"/>
      <c r="D40" s="177"/>
      <c r="E40" s="177"/>
      <c r="F40" s="177"/>
      <c r="G40" s="178"/>
      <c r="H40" s="49">
        <f>H14-H39</f>
        <v>2582.3099999999977</v>
      </c>
      <c r="I40" s="49">
        <f>I14-I39</f>
        <v>0</v>
      </c>
      <c r="J40" s="67">
        <f>J14-J39</f>
        <v>2582.3099999999977</v>
      </c>
    </row>
    <row r="41" spans="2:6" ht="15.75">
      <c r="B41" s="17"/>
      <c r="F41" s="17"/>
    </row>
    <row r="42" spans="2:9" ht="15.75">
      <c r="B42" s="17" t="s">
        <v>32</v>
      </c>
      <c r="F42" s="17"/>
      <c r="H42" s="168" t="s">
        <v>33</v>
      </c>
      <c r="I42" s="168"/>
    </row>
    <row r="43" spans="2:9" ht="15.75">
      <c r="B43" s="17" t="s">
        <v>38</v>
      </c>
      <c r="C43" s="17"/>
      <c r="D43" s="17"/>
      <c r="E43" s="17"/>
      <c r="F43" s="17"/>
      <c r="H43" s="17"/>
      <c r="I43" s="17"/>
    </row>
    <row r="44" ht="15.75">
      <c r="B44" t="s">
        <v>35</v>
      </c>
    </row>
    <row r="45" spans="2:4" ht="15.75">
      <c r="B45" s="174"/>
      <c r="C45" s="174"/>
      <c r="D45" s="174"/>
    </row>
  </sheetData>
  <mergeCells count="37">
    <mergeCell ref="B45:D45"/>
    <mergeCell ref="B33:D33"/>
    <mergeCell ref="B34:D34"/>
    <mergeCell ref="B38:F38"/>
    <mergeCell ref="B39:F39"/>
    <mergeCell ref="B40:G40"/>
    <mergeCell ref="B29:D29"/>
    <mergeCell ref="B30:D30"/>
    <mergeCell ref="H42:I42"/>
    <mergeCell ref="B31:D31"/>
    <mergeCell ref="B32:D32"/>
    <mergeCell ref="B36:E36"/>
    <mergeCell ref="B37:F37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H1"/>
    <mergeCell ref="A2:H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80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E3" sqref="E3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5.00390625" style="0" customWidth="1"/>
    <col min="5" max="5" width="16.875" style="0" bestFit="1" customWidth="1"/>
    <col min="6" max="6" width="22.50390625" style="0" hidden="1" customWidth="1"/>
    <col min="7" max="7" width="7.375" style="0" bestFit="1" customWidth="1"/>
    <col min="8" max="8" width="12.75390625" style="0" bestFit="1" customWidth="1"/>
  </cols>
  <sheetData>
    <row r="1" spans="1:8" ht="85.5" customHeight="1">
      <c r="A1" s="155" t="s">
        <v>114</v>
      </c>
      <c r="B1" s="155"/>
      <c r="C1" s="155"/>
      <c r="D1" s="155"/>
      <c r="E1" s="155"/>
      <c r="F1" s="155"/>
      <c r="G1" s="155"/>
      <c r="H1" s="155"/>
    </row>
    <row r="2" spans="1:6" ht="18.75">
      <c r="A2" t="s">
        <v>37</v>
      </c>
      <c r="B2" s="1" t="s">
        <v>36</v>
      </c>
      <c r="C2" s="2"/>
      <c r="D2" s="2" t="s">
        <v>0</v>
      </c>
      <c r="E2" s="4">
        <v>2715.5</v>
      </c>
      <c r="F2" s="2"/>
    </row>
    <row r="3" spans="2:6" ht="15.75">
      <c r="B3" s="3" t="s">
        <v>1</v>
      </c>
      <c r="C3" s="16">
        <v>5</v>
      </c>
      <c r="D3" s="2" t="s">
        <v>2</v>
      </c>
      <c r="E3" s="16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38.25">
      <c r="A6" s="26" t="s">
        <v>31</v>
      </c>
      <c r="B6" s="194" t="s">
        <v>51</v>
      </c>
      <c r="C6" s="195"/>
      <c r="D6" s="196"/>
      <c r="E6" s="21" t="s">
        <v>6</v>
      </c>
      <c r="F6" s="21" t="s">
        <v>7</v>
      </c>
      <c r="G6" s="68" t="s">
        <v>100</v>
      </c>
      <c r="H6" s="69" t="s">
        <v>42</v>
      </c>
    </row>
    <row r="7" spans="1:8" ht="15.75" customHeight="1">
      <c r="A7" s="27">
        <v>1</v>
      </c>
      <c r="B7" s="197" t="s">
        <v>43</v>
      </c>
      <c r="C7" s="197"/>
      <c r="D7" s="197"/>
      <c r="E7" s="197"/>
      <c r="F7" s="197"/>
      <c r="G7" s="28"/>
      <c r="H7" s="70"/>
    </row>
    <row r="8" spans="1:8" ht="29.25" customHeight="1">
      <c r="A8" s="27"/>
      <c r="B8" s="150" t="s">
        <v>101</v>
      </c>
      <c r="C8" s="150"/>
      <c r="D8" s="150"/>
      <c r="E8" s="150"/>
      <c r="F8" s="150"/>
      <c r="G8" s="14">
        <f>G34</f>
        <v>10.89</v>
      </c>
      <c r="H8" s="70">
        <f>ROUND($E$2*G8*12,0)</f>
        <v>354862</v>
      </c>
    </row>
    <row r="9" spans="1:8" ht="15.75" customHeight="1">
      <c r="A9" s="27"/>
      <c r="B9" s="193" t="s">
        <v>44</v>
      </c>
      <c r="C9" s="193"/>
      <c r="D9" s="193"/>
      <c r="E9" s="193"/>
      <c r="F9" s="193"/>
      <c r="G9" s="13">
        <v>0.78</v>
      </c>
      <c r="H9" s="70">
        <f>ROUND($E$2*G9*12,0)</f>
        <v>25417</v>
      </c>
    </row>
    <row r="10" spans="1:8" ht="18.75" customHeight="1">
      <c r="A10" s="27">
        <v>2</v>
      </c>
      <c r="B10" s="151" t="s">
        <v>45</v>
      </c>
      <c r="C10" s="151"/>
      <c r="D10" s="151"/>
      <c r="E10" s="151"/>
      <c r="F10" s="151"/>
      <c r="G10" s="29"/>
      <c r="H10" s="70"/>
    </row>
    <row r="11" spans="1:8" ht="15.75" customHeight="1">
      <c r="A11" s="27" t="s">
        <v>62</v>
      </c>
      <c r="B11" s="10" t="s">
        <v>46</v>
      </c>
      <c r="C11" s="10"/>
      <c r="D11" s="10"/>
      <c r="E11" s="10"/>
      <c r="F11" s="5"/>
      <c r="G11" s="39"/>
      <c r="H11" s="70"/>
    </row>
    <row r="12" spans="1:8" ht="31.5" customHeight="1">
      <c r="A12" s="71"/>
      <c r="B12" s="191" t="s">
        <v>102</v>
      </c>
      <c r="C12" s="191"/>
      <c r="D12" s="191"/>
      <c r="E12" s="48" t="s">
        <v>28</v>
      </c>
      <c r="F12" s="30" t="s">
        <v>22</v>
      </c>
      <c r="G12" s="31">
        <v>1.09</v>
      </c>
      <c r="H12" s="25">
        <f aca="true" t="shared" si="0" ref="H12:H34">ROUND($E$2*G12*12,0)</f>
        <v>35519</v>
      </c>
    </row>
    <row r="13" spans="1:8" ht="15.75">
      <c r="A13" s="71"/>
      <c r="B13" s="191" t="s">
        <v>16</v>
      </c>
      <c r="C13" s="191"/>
      <c r="D13" s="191"/>
      <c r="E13" s="48" t="s">
        <v>28</v>
      </c>
      <c r="F13" s="30" t="s">
        <v>17</v>
      </c>
      <c r="G13" s="31">
        <v>0.29</v>
      </c>
      <c r="H13" s="25">
        <f t="shared" si="0"/>
        <v>9450</v>
      </c>
    </row>
    <row r="14" spans="1:8" ht="15.75" customHeight="1">
      <c r="A14" s="71"/>
      <c r="B14" s="189" t="s">
        <v>21</v>
      </c>
      <c r="C14" s="189"/>
      <c r="D14" s="189"/>
      <c r="E14" s="52" t="s">
        <v>64</v>
      </c>
      <c r="F14" s="32" t="s">
        <v>18</v>
      </c>
      <c r="G14" s="31">
        <v>0.4</v>
      </c>
      <c r="H14" s="25">
        <f t="shared" si="0"/>
        <v>13034</v>
      </c>
    </row>
    <row r="15" spans="1:8" ht="15.75" customHeight="1">
      <c r="A15" s="71"/>
      <c r="B15" s="192" t="s">
        <v>27</v>
      </c>
      <c r="C15" s="192"/>
      <c r="D15" s="192"/>
      <c r="E15" s="54" t="s">
        <v>8</v>
      </c>
      <c r="F15" s="33" t="s">
        <v>9</v>
      </c>
      <c r="G15" s="31">
        <v>0.53</v>
      </c>
      <c r="H15" s="25">
        <f t="shared" si="0"/>
        <v>17271</v>
      </c>
    </row>
    <row r="16" spans="1:8" ht="51">
      <c r="A16" s="71"/>
      <c r="B16" s="189" t="s">
        <v>25</v>
      </c>
      <c r="C16" s="189"/>
      <c r="D16" s="189"/>
      <c r="E16" s="52" t="s">
        <v>65</v>
      </c>
      <c r="F16" s="32" t="s">
        <v>23</v>
      </c>
      <c r="G16" s="31">
        <v>0.12</v>
      </c>
      <c r="H16" s="25">
        <f t="shared" si="0"/>
        <v>3910</v>
      </c>
    </row>
    <row r="17" spans="1:8" ht="30.75" customHeight="1">
      <c r="A17" s="71"/>
      <c r="B17" s="189" t="s">
        <v>10</v>
      </c>
      <c r="C17" s="189"/>
      <c r="D17" s="189"/>
      <c r="E17" s="52" t="s">
        <v>8</v>
      </c>
      <c r="F17" s="32" t="s">
        <v>11</v>
      </c>
      <c r="G17" s="31">
        <v>0</v>
      </c>
      <c r="H17" s="25">
        <f t="shared" si="0"/>
        <v>0</v>
      </c>
    </row>
    <row r="18" spans="1:8" ht="15.75" customHeight="1">
      <c r="A18" s="71"/>
      <c r="B18" s="189" t="s">
        <v>24</v>
      </c>
      <c r="C18" s="190"/>
      <c r="D18" s="190"/>
      <c r="E18" s="55" t="s">
        <v>12</v>
      </c>
      <c r="F18" s="29" t="s">
        <v>103</v>
      </c>
      <c r="G18" s="31">
        <v>0.05</v>
      </c>
      <c r="H18" s="25">
        <f t="shared" si="0"/>
        <v>1629</v>
      </c>
    </row>
    <row r="19" spans="1:8" ht="25.5">
      <c r="A19" s="71"/>
      <c r="B19" s="189" t="s">
        <v>66</v>
      </c>
      <c r="C19" s="189"/>
      <c r="D19" s="189"/>
      <c r="E19" s="48" t="s">
        <v>29</v>
      </c>
      <c r="F19" s="32" t="s">
        <v>34</v>
      </c>
      <c r="G19" s="31">
        <v>2.21</v>
      </c>
      <c r="H19" s="25">
        <f t="shared" si="0"/>
        <v>72015</v>
      </c>
    </row>
    <row r="20" spans="1:8" ht="51">
      <c r="A20" s="71"/>
      <c r="B20" s="191" t="s">
        <v>14</v>
      </c>
      <c r="C20" s="191"/>
      <c r="D20" s="191"/>
      <c r="E20" s="48" t="s">
        <v>47</v>
      </c>
      <c r="F20" s="32" t="s">
        <v>34</v>
      </c>
      <c r="G20" s="31">
        <v>0.45</v>
      </c>
      <c r="H20" s="25">
        <f>ROUND($E$2/4*1*G20*12,0)</f>
        <v>3666</v>
      </c>
    </row>
    <row r="21" spans="1:8" ht="25.5">
      <c r="A21" s="71"/>
      <c r="B21" s="189" t="s">
        <v>30</v>
      </c>
      <c r="C21" s="190"/>
      <c r="D21" s="190"/>
      <c r="E21" s="48" t="s">
        <v>29</v>
      </c>
      <c r="F21" s="32" t="s">
        <v>34</v>
      </c>
      <c r="G21" s="31">
        <f>3.57-G22-G23</f>
        <v>3.57</v>
      </c>
      <c r="H21" s="25">
        <f t="shared" si="0"/>
        <v>116332</v>
      </c>
    </row>
    <row r="22" spans="1:8" ht="31.5" customHeight="1">
      <c r="A22" s="71"/>
      <c r="B22" s="189" t="s">
        <v>104</v>
      </c>
      <c r="C22" s="189"/>
      <c r="D22" s="189"/>
      <c r="E22" s="52" t="s">
        <v>8</v>
      </c>
      <c r="F22" s="32" t="s">
        <v>34</v>
      </c>
      <c r="G22" s="31">
        <v>0</v>
      </c>
      <c r="H22" s="25">
        <f t="shared" si="0"/>
        <v>0</v>
      </c>
    </row>
    <row r="23" spans="1:8" ht="15.75" customHeight="1">
      <c r="A23" s="71"/>
      <c r="B23" s="189" t="s">
        <v>69</v>
      </c>
      <c r="C23" s="189"/>
      <c r="D23" s="189"/>
      <c r="E23" s="52" t="s">
        <v>8</v>
      </c>
      <c r="F23" s="32" t="s">
        <v>34</v>
      </c>
      <c r="G23" s="31">
        <v>0</v>
      </c>
      <c r="H23" s="25">
        <f t="shared" si="0"/>
        <v>0</v>
      </c>
    </row>
    <row r="24" spans="1:8" ht="35.25" customHeight="1">
      <c r="A24" s="71"/>
      <c r="B24" s="190" t="s">
        <v>19</v>
      </c>
      <c r="C24" s="190"/>
      <c r="D24" s="190"/>
      <c r="E24" s="48" t="s">
        <v>29</v>
      </c>
      <c r="F24" s="32" t="s">
        <v>34</v>
      </c>
      <c r="G24" s="31">
        <v>1.09</v>
      </c>
      <c r="H24" s="25">
        <f t="shared" si="0"/>
        <v>35519</v>
      </c>
    </row>
    <row r="25" spans="1:8" ht="15.75">
      <c r="A25" s="71"/>
      <c r="B25" s="175" t="s">
        <v>70</v>
      </c>
      <c r="C25" s="163"/>
      <c r="D25" s="164"/>
      <c r="E25" s="52" t="s">
        <v>8</v>
      </c>
      <c r="F25" s="32"/>
      <c r="G25" s="31"/>
      <c r="H25" s="25"/>
    </row>
    <row r="26" spans="1:8" ht="15.75">
      <c r="A26" s="71"/>
      <c r="B26" s="175" t="s">
        <v>71</v>
      </c>
      <c r="C26" s="163"/>
      <c r="D26" s="164"/>
      <c r="E26" s="48"/>
      <c r="F26" s="32"/>
      <c r="G26" s="31"/>
      <c r="H26" s="25"/>
    </row>
    <row r="27" spans="1:8" ht="15.75">
      <c r="A27" s="71"/>
      <c r="B27" s="165"/>
      <c r="C27" s="166"/>
      <c r="D27" s="167"/>
      <c r="E27" s="48"/>
      <c r="F27" s="32"/>
      <c r="G27" s="31"/>
      <c r="H27" s="25"/>
    </row>
    <row r="28" spans="1:8" ht="15.75">
      <c r="A28" s="71"/>
      <c r="B28" s="165"/>
      <c r="C28" s="166"/>
      <c r="D28" s="167"/>
      <c r="E28" s="48"/>
      <c r="F28" s="32"/>
      <c r="G28" s="31"/>
      <c r="H28" s="25"/>
    </row>
    <row r="29" spans="1:8" ht="15.75">
      <c r="A29" s="71"/>
      <c r="B29" s="186" t="s">
        <v>26</v>
      </c>
      <c r="C29" s="187"/>
      <c r="D29" s="188"/>
      <c r="E29" s="7"/>
      <c r="F29" s="32"/>
      <c r="G29" s="11">
        <f>SUM(G12:G28)</f>
        <v>9.8</v>
      </c>
      <c r="H29" s="25">
        <f t="shared" si="0"/>
        <v>319343</v>
      </c>
    </row>
    <row r="30" spans="1:8" ht="15.75">
      <c r="A30" s="71"/>
      <c r="B30" s="76"/>
      <c r="C30" s="77"/>
      <c r="D30" s="77"/>
      <c r="E30" s="7"/>
      <c r="F30" s="32"/>
      <c r="G30" s="11"/>
      <c r="H30" s="25"/>
    </row>
    <row r="31" spans="1:8" ht="15.75">
      <c r="A31" s="71"/>
      <c r="B31" s="76"/>
      <c r="C31" s="77"/>
      <c r="D31" s="77"/>
      <c r="E31" s="7"/>
      <c r="F31" s="32"/>
      <c r="G31" s="11"/>
      <c r="H31" s="25"/>
    </row>
    <row r="32" spans="1:8" ht="15.75">
      <c r="A32" s="71"/>
      <c r="B32" s="76"/>
      <c r="C32" s="77"/>
      <c r="D32" s="77"/>
      <c r="E32" s="7"/>
      <c r="F32" s="32"/>
      <c r="G32" s="11"/>
      <c r="H32" s="25"/>
    </row>
    <row r="33" spans="1:8" ht="31.5" customHeight="1">
      <c r="A33" s="27" t="s">
        <v>72</v>
      </c>
      <c r="B33" s="170" t="s">
        <v>117</v>
      </c>
      <c r="C33" s="171"/>
      <c r="D33" s="171"/>
      <c r="E33" s="172"/>
      <c r="F33" s="32" t="s">
        <v>34</v>
      </c>
      <c r="G33" s="14">
        <v>1.09</v>
      </c>
      <c r="H33" s="25">
        <f t="shared" si="0"/>
        <v>35519</v>
      </c>
    </row>
    <row r="34" spans="1:8" ht="15.75">
      <c r="A34" s="27"/>
      <c r="B34" s="179" t="s">
        <v>105</v>
      </c>
      <c r="C34" s="179"/>
      <c r="D34" s="179"/>
      <c r="E34" s="179"/>
      <c r="F34" s="179"/>
      <c r="G34" s="11">
        <f>SUM(G29:G33)</f>
        <v>10.89</v>
      </c>
      <c r="H34" s="72">
        <f t="shared" si="0"/>
        <v>354862</v>
      </c>
    </row>
    <row r="35" spans="1:8" ht="16.5" thickBot="1">
      <c r="A35" s="73">
        <v>3</v>
      </c>
      <c r="B35" s="180" t="s">
        <v>109</v>
      </c>
      <c r="C35" s="181"/>
      <c r="D35" s="182"/>
      <c r="E35" s="34" t="s">
        <v>118</v>
      </c>
      <c r="F35" s="74" t="s">
        <v>34</v>
      </c>
      <c r="G35" s="34">
        <v>0.78</v>
      </c>
      <c r="H35" s="75">
        <f>ROUND($E$2*G35*12,0)</f>
        <v>25417</v>
      </c>
    </row>
    <row r="36" spans="1:8" ht="16.5" thickBot="1">
      <c r="A36" s="79"/>
      <c r="B36" s="80"/>
      <c r="C36" s="80"/>
      <c r="D36" s="80"/>
      <c r="E36" s="80"/>
      <c r="F36" s="81"/>
      <c r="G36" s="82"/>
      <c r="H36" s="83"/>
    </row>
    <row r="37" spans="1:5" ht="15.75" customHeight="1">
      <c r="A37" s="84"/>
      <c r="B37" s="184" t="s">
        <v>110</v>
      </c>
      <c r="C37" s="184"/>
      <c r="D37" s="184"/>
      <c r="E37" s="184"/>
    </row>
    <row r="38" spans="1:5" ht="15.75" customHeight="1">
      <c r="A38" s="84"/>
      <c r="B38" s="185" t="s">
        <v>115</v>
      </c>
      <c r="C38" s="185"/>
      <c r="D38" s="185"/>
      <c r="E38" s="185"/>
    </row>
    <row r="39" spans="1:5" ht="15.75" customHeight="1">
      <c r="A39" s="84"/>
      <c r="B39" s="185" t="s">
        <v>116</v>
      </c>
      <c r="C39" s="185"/>
      <c r="D39" s="185"/>
      <c r="E39" s="185"/>
    </row>
    <row r="40" ht="15.75">
      <c r="A40" t="s">
        <v>111</v>
      </c>
    </row>
    <row r="41" ht="15.75">
      <c r="A41" t="s">
        <v>112</v>
      </c>
    </row>
    <row r="42" ht="15.75">
      <c r="A42" t="s">
        <v>113</v>
      </c>
    </row>
    <row r="44" spans="2:9" ht="15.75">
      <c r="B44" s="17" t="s">
        <v>32</v>
      </c>
      <c r="E44" s="17" t="s">
        <v>33</v>
      </c>
      <c r="F44" s="17"/>
      <c r="H44" s="183"/>
      <c r="I44" s="183"/>
    </row>
  </sheetData>
  <mergeCells count="31"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3:E33"/>
    <mergeCell ref="B34:F34"/>
    <mergeCell ref="B35:D35"/>
    <mergeCell ref="H44:I44"/>
    <mergeCell ref="B37:E37"/>
    <mergeCell ref="B38:E38"/>
    <mergeCell ref="B39:E39"/>
  </mergeCells>
  <printOptions/>
  <pageMargins left="0.75" right="0.75" top="1" bottom="1" header="0.5" footer="0.5"/>
  <pageSetup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workbookViewId="0" topLeftCell="A2">
      <selection activeCell="E9" sqref="E9"/>
    </sheetView>
  </sheetViews>
  <sheetFormatPr defaultColWidth="9.00390625" defaultRowHeight="15.75"/>
  <cols>
    <col min="1" max="1" width="6.125" style="0" customWidth="1"/>
    <col min="2" max="2" width="27.125" style="0" customWidth="1"/>
    <col min="3" max="3" width="4.00390625" style="0" customWidth="1"/>
    <col min="4" max="4" width="14.25390625" style="0" customWidth="1"/>
    <col min="5" max="5" width="16.25390625" style="0" customWidth="1"/>
    <col min="6" max="6" width="22.50390625" style="0" hidden="1" customWidth="1"/>
    <col min="7" max="7" width="12.625" style="0" customWidth="1"/>
    <col min="8" max="8" width="13.25390625" style="0" customWidth="1"/>
  </cols>
  <sheetData>
    <row r="1" spans="4:8" ht="64.5" customHeight="1">
      <c r="D1" s="199" t="s">
        <v>119</v>
      </c>
      <c r="E1" s="199"/>
      <c r="F1" s="199"/>
      <c r="G1" s="199"/>
      <c r="H1" s="199"/>
    </row>
    <row r="4" spans="1:8" ht="19.5">
      <c r="A4" s="155" t="s">
        <v>120</v>
      </c>
      <c r="B4" s="155"/>
      <c r="C4" s="155"/>
      <c r="D4" s="155"/>
      <c r="E4" s="155"/>
      <c r="F4" s="155"/>
      <c r="G4" s="155"/>
      <c r="H4" s="155"/>
    </row>
    <row r="5" spans="1:7" ht="19.5">
      <c r="A5" s="85"/>
      <c r="B5" s="85"/>
      <c r="C5" s="85"/>
      <c r="D5" s="85"/>
      <c r="E5" s="85"/>
      <c r="F5" s="85"/>
      <c r="G5" s="85"/>
    </row>
    <row r="6" spans="1:7" ht="19.5">
      <c r="A6" s="85"/>
      <c r="B6" s="200" t="s">
        <v>131</v>
      </c>
      <c r="C6" s="200"/>
      <c r="D6" s="200"/>
      <c r="E6" s="200"/>
      <c r="F6" s="85"/>
      <c r="G6" s="85"/>
    </row>
    <row r="7" spans="1:7" ht="19.5">
      <c r="A7" s="85"/>
      <c r="B7" s="97"/>
      <c r="C7" s="97"/>
      <c r="D7" s="97"/>
      <c r="E7" s="97"/>
      <c r="F7" s="85"/>
      <c r="G7" s="85"/>
    </row>
    <row r="8" spans="1:6" ht="18.75">
      <c r="A8" t="s">
        <v>37</v>
      </c>
      <c r="B8" s="1" t="s">
        <v>36</v>
      </c>
      <c r="C8" s="2"/>
      <c r="D8" s="2" t="s">
        <v>0</v>
      </c>
      <c r="E8" s="4">
        <v>2714.5</v>
      </c>
      <c r="F8" s="2"/>
    </row>
    <row r="9" spans="2:6" ht="15.75">
      <c r="B9" s="3" t="s">
        <v>1</v>
      </c>
      <c r="C9" s="16">
        <v>5</v>
      </c>
      <c r="D9" s="2" t="s">
        <v>2</v>
      </c>
      <c r="E9" s="16">
        <v>60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110.25">
      <c r="A12" s="26" t="s">
        <v>31</v>
      </c>
      <c r="B12" s="194" t="s">
        <v>51</v>
      </c>
      <c r="C12" s="195"/>
      <c r="D12" s="196"/>
      <c r="E12" s="21" t="s">
        <v>6</v>
      </c>
      <c r="F12" s="21" t="s">
        <v>7</v>
      </c>
      <c r="G12" s="86" t="s">
        <v>132</v>
      </c>
      <c r="H12" s="87" t="s">
        <v>133</v>
      </c>
    </row>
    <row r="13" spans="1:8" ht="25.5">
      <c r="A13" s="88">
        <v>1</v>
      </c>
      <c r="B13" s="157">
        <v>2</v>
      </c>
      <c r="C13" s="158"/>
      <c r="D13" s="159"/>
      <c r="E13" s="89">
        <v>3</v>
      </c>
      <c r="F13" s="89"/>
      <c r="G13" s="90">
        <v>4</v>
      </c>
      <c r="H13" s="91" t="s">
        <v>134</v>
      </c>
    </row>
    <row r="14" spans="1:8" ht="15.75" customHeight="1" hidden="1">
      <c r="A14" s="27">
        <v>1</v>
      </c>
      <c r="B14" s="197" t="s">
        <v>43</v>
      </c>
      <c r="C14" s="197"/>
      <c r="D14" s="197"/>
      <c r="E14" s="197"/>
      <c r="F14" s="197"/>
      <c r="G14" s="28"/>
      <c r="H14" s="70"/>
    </row>
    <row r="15" spans="1:8" ht="29.25" customHeight="1" hidden="1">
      <c r="A15" s="27"/>
      <c r="B15" s="150" t="s">
        <v>101</v>
      </c>
      <c r="C15" s="150"/>
      <c r="D15" s="150"/>
      <c r="E15" s="150"/>
      <c r="F15" s="150"/>
      <c r="G15" s="14">
        <f>G36</f>
        <v>11.21</v>
      </c>
      <c r="H15" s="70">
        <f>ROUND($E$8*G15*12,0)</f>
        <v>365155</v>
      </c>
    </row>
    <row r="16" spans="1:8" ht="15.75" customHeight="1" hidden="1">
      <c r="A16" s="27"/>
      <c r="B16" s="193" t="s">
        <v>44</v>
      </c>
      <c r="C16" s="193"/>
      <c r="D16" s="193"/>
      <c r="E16" s="193"/>
      <c r="F16" s="193"/>
      <c r="G16" s="13">
        <v>0.78</v>
      </c>
      <c r="H16" s="70">
        <f>ROUND($E$8*G16*12,0)</f>
        <v>25408</v>
      </c>
    </row>
    <row r="17" spans="1:8" ht="18.75" customHeight="1">
      <c r="A17" s="27" t="s">
        <v>39</v>
      </c>
      <c r="B17" s="151" t="s">
        <v>45</v>
      </c>
      <c r="C17" s="151"/>
      <c r="D17" s="151"/>
      <c r="E17" s="151"/>
      <c r="F17" s="151"/>
      <c r="G17" s="29"/>
      <c r="H17" s="70"/>
    </row>
    <row r="18" spans="1:8" ht="15.75" customHeight="1">
      <c r="A18" s="27" t="s">
        <v>121</v>
      </c>
      <c r="B18" s="10" t="s">
        <v>46</v>
      </c>
      <c r="C18" s="10"/>
      <c r="D18" s="10"/>
      <c r="E18" s="10"/>
      <c r="F18" s="5"/>
      <c r="G18" s="39"/>
      <c r="H18" s="70"/>
    </row>
    <row r="19" spans="1:8" ht="31.5" customHeight="1">
      <c r="A19" s="71"/>
      <c r="B19" s="191" t="s">
        <v>102</v>
      </c>
      <c r="C19" s="191"/>
      <c r="D19" s="191"/>
      <c r="E19" s="48" t="s">
        <v>28</v>
      </c>
      <c r="F19" s="30" t="s">
        <v>22</v>
      </c>
      <c r="G19" s="31">
        <v>1.12</v>
      </c>
      <c r="H19" s="25">
        <f>ROUND($E$8*G19*3,0)</f>
        <v>9121</v>
      </c>
    </row>
    <row r="20" spans="1:8" ht="15.75">
      <c r="A20" s="71"/>
      <c r="B20" s="191" t="s">
        <v>16</v>
      </c>
      <c r="C20" s="191"/>
      <c r="D20" s="191"/>
      <c r="E20" s="48" t="s">
        <v>28</v>
      </c>
      <c r="F20" s="30" t="s">
        <v>17</v>
      </c>
      <c r="G20" s="31">
        <v>0.3</v>
      </c>
      <c r="H20" s="25">
        <f aca="true" t="shared" si="0" ref="H20:H44">ROUND($E$8*G20*3,0)</f>
        <v>2443</v>
      </c>
    </row>
    <row r="21" spans="1:8" ht="15.75" customHeight="1">
      <c r="A21" s="71"/>
      <c r="B21" s="189" t="s">
        <v>21</v>
      </c>
      <c r="C21" s="189"/>
      <c r="D21" s="189"/>
      <c r="E21" s="52" t="s">
        <v>64</v>
      </c>
      <c r="F21" s="32" t="s">
        <v>18</v>
      </c>
      <c r="G21" s="31">
        <v>0.41</v>
      </c>
      <c r="H21" s="25">
        <f t="shared" si="0"/>
        <v>3339</v>
      </c>
    </row>
    <row r="22" spans="1:8" ht="15.75" customHeight="1">
      <c r="A22" s="71"/>
      <c r="B22" s="192" t="s">
        <v>27</v>
      </c>
      <c r="C22" s="192"/>
      <c r="D22" s="192"/>
      <c r="E22" s="54" t="s">
        <v>8</v>
      </c>
      <c r="F22" s="33" t="s">
        <v>9</v>
      </c>
      <c r="G22" s="31">
        <v>0.54</v>
      </c>
      <c r="H22" s="25">
        <f t="shared" si="0"/>
        <v>4397</v>
      </c>
    </row>
    <row r="23" spans="1:8" ht="63" customHeight="1">
      <c r="A23" s="71"/>
      <c r="B23" s="189" t="s">
        <v>25</v>
      </c>
      <c r="C23" s="189"/>
      <c r="D23" s="189"/>
      <c r="E23" s="52" t="s">
        <v>65</v>
      </c>
      <c r="F23" s="32" t="s">
        <v>23</v>
      </c>
      <c r="G23" s="31">
        <v>0.13</v>
      </c>
      <c r="H23" s="25">
        <f t="shared" si="0"/>
        <v>1059</v>
      </c>
    </row>
    <row r="24" spans="1:8" ht="30.75" customHeight="1">
      <c r="A24" s="71"/>
      <c r="B24" s="189" t="s">
        <v>10</v>
      </c>
      <c r="C24" s="189"/>
      <c r="D24" s="189"/>
      <c r="E24" s="52" t="s">
        <v>8</v>
      </c>
      <c r="F24" s="32" t="s">
        <v>11</v>
      </c>
      <c r="G24" s="92">
        <v>0</v>
      </c>
      <c r="H24" s="25">
        <f t="shared" si="0"/>
        <v>0</v>
      </c>
    </row>
    <row r="25" spans="1:8" ht="28.5" customHeight="1">
      <c r="A25" s="71"/>
      <c r="B25" s="189" t="s">
        <v>24</v>
      </c>
      <c r="C25" s="190"/>
      <c r="D25" s="190"/>
      <c r="E25" s="55" t="s">
        <v>12</v>
      </c>
      <c r="F25" s="29" t="s">
        <v>103</v>
      </c>
      <c r="G25" s="31">
        <v>0.05</v>
      </c>
      <c r="H25" s="25">
        <f t="shared" si="0"/>
        <v>407</v>
      </c>
    </row>
    <row r="26" spans="1:8" ht="51">
      <c r="A26" s="71"/>
      <c r="B26" s="189" t="s">
        <v>66</v>
      </c>
      <c r="C26" s="189"/>
      <c r="D26" s="189"/>
      <c r="E26" s="48" t="s">
        <v>130</v>
      </c>
      <c r="F26" s="32" t="s">
        <v>34</v>
      </c>
      <c r="G26" s="31">
        <v>1.63</v>
      </c>
      <c r="H26" s="25">
        <f t="shared" si="0"/>
        <v>13274</v>
      </c>
    </row>
    <row r="27" spans="1:8" ht="55.5" customHeight="1">
      <c r="A27" s="71"/>
      <c r="B27" s="191" t="s">
        <v>14</v>
      </c>
      <c r="C27" s="191"/>
      <c r="D27" s="191"/>
      <c r="E27" s="48" t="s">
        <v>47</v>
      </c>
      <c r="F27" s="32" t="s">
        <v>34</v>
      </c>
      <c r="G27" s="31">
        <v>0.47</v>
      </c>
      <c r="H27" s="25">
        <f t="shared" si="0"/>
        <v>3827</v>
      </c>
    </row>
    <row r="28" spans="1:8" ht="28.5" customHeight="1">
      <c r="A28" s="71"/>
      <c r="B28" s="189" t="s">
        <v>30</v>
      </c>
      <c r="C28" s="190"/>
      <c r="D28" s="190"/>
      <c r="E28" s="48" t="s">
        <v>29</v>
      </c>
      <c r="F28" s="32" t="s">
        <v>34</v>
      </c>
      <c r="G28" s="31">
        <f>4.32-G29-G30</f>
        <v>4.32</v>
      </c>
      <c r="H28" s="25">
        <f t="shared" si="0"/>
        <v>35180</v>
      </c>
    </row>
    <row r="29" spans="1:8" ht="19.5" customHeight="1">
      <c r="A29" s="71"/>
      <c r="B29" s="189" t="s">
        <v>104</v>
      </c>
      <c r="C29" s="189"/>
      <c r="D29" s="189"/>
      <c r="E29" s="52" t="s">
        <v>8</v>
      </c>
      <c r="F29" s="32" t="s">
        <v>34</v>
      </c>
      <c r="G29" s="92">
        <v>0</v>
      </c>
      <c r="H29" s="25">
        <f t="shared" si="0"/>
        <v>0</v>
      </c>
    </row>
    <row r="30" spans="1:8" ht="15.75" customHeight="1">
      <c r="A30" s="71"/>
      <c r="B30" s="189" t="s">
        <v>69</v>
      </c>
      <c r="C30" s="189"/>
      <c r="D30" s="189"/>
      <c r="E30" s="52" t="s">
        <v>8</v>
      </c>
      <c r="F30" s="32" t="s">
        <v>34</v>
      </c>
      <c r="G30" s="92">
        <v>0</v>
      </c>
      <c r="H30" s="25">
        <f t="shared" si="0"/>
        <v>0</v>
      </c>
    </row>
    <row r="31" spans="1:8" ht="25.5">
      <c r="A31" s="71"/>
      <c r="B31" s="190" t="s">
        <v>19</v>
      </c>
      <c r="C31" s="190"/>
      <c r="D31" s="190"/>
      <c r="E31" s="48" t="s">
        <v>29</v>
      </c>
      <c r="F31" s="32" t="s">
        <v>34</v>
      </c>
      <c r="G31" s="31">
        <v>1.12</v>
      </c>
      <c r="H31" s="25">
        <f t="shared" si="0"/>
        <v>9121</v>
      </c>
    </row>
    <row r="32" spans="1:8" ht="15.75" hidden="1">
      <c r="A32" s="71"/>
      <c r="B32" s="175" t="s">
        <v>70</v>
      </c>
      <c r="C32" s="163"/>
      <c r="D32" s="164"/>
      <c r="E32" s="52" t="s">
        <v>8</v>
      </c>
      <c r="F32" s="32"/>
      <c r="G32" s="31"/>
      <c r="H32" s="25">
        <f t="shared" si="0"/>
        <v>0</v>
      </c>
    </row>
    <row r="33" spans="1:8" ht="15.75" hidden="1">
      <c r="A33" s="71"/>
      <c r="B33" s="175" t="s">
        <v>71</v>
      </c>
      <c r="C33" s="163"/>
      <c r="D33" s="164"/>
      <c r="E33" s="48"/>
      <c r="F33" s="32"/>
      <c r="G33" s="31"/>
      <c r="H33" s="25">
        <f t="shared" si="0"/>
        <v>0</v>
      </c>
    </row>
    <row r="34" spans="1:8" ht="15.75">
      <c r="A34" s="71"/>
      <c r="B34" s="186" t="s">
        <v>26</v>
      </c>
      <c r="C34" s="187"/>
      <c r="D34" s="188"/>
      <c r="E34" s="7"/>
      <c r="F34" s="32"/>
      <c r="G34" s="11">
        <f>SUM(G19:G33)</f>
        <v>10.09</v>
      </c>
      <c r="H34" s="25">
        <f t="shared" si="0"/>
        <v>82168</v>
      </c>
    </row>
    <row r="35" spans="1:8" ht="15.75">
      <c r="A35" s="27" t="s">
        <v>121</v>
      </c>
      <c r="B35" s="170" t="s">
        <v>127</v>
      </c>
      <c r="C35" s="171"/>
      <c r="D35" s="171"/>
      <c r="E35" s="96" t="s">
        <v>118</v>
      </c>
      <c r="F35" s="32" t="s">
        <v>34</v>
      </c>
      <c r="G35" s="14">
        <v>1.12</v>
      </c>
      <c r="H35" s="25">
        <f t="shared" si="0"/>
        <v>9121</v>
      </c>
    </row>
    <row r="36" spans="1:8" ht="15.75">
      <c r="A36" s="27" t="s">
        <v>122</v>
      </c>
      <c r="B36" s="179" t="s">
        <v>105</v>
      </c>
      <c r="C36" s="179"/>
      <c r="D36" s="179"/>
      <c r="E36" s="201"/>
      <c r="F36" s="179"/>
      <c r="G36" s="11">
        <f>SUM(G34:G35)</f>
        <v>11.21</v>
      </c>
      <c r="H36" s="25">
        <f t="shared" si="0"/>
        <v>91289</v>
      </c>
    </row>
    <row r="37" spans="1:8" ht="16.5" thickBot="1">
      <c r="A37" s="73" t="s">
        <v>40</v>
      </c>
      <c r="B37" s="180" t="s">
        <v>109</v>
      </c>
      <c r="C37" s="181"/>
      <c r="D37" s="182"/>
      <c r="E37" s="95" t="s">
        <v>118</v>
      </c>
      <c r="F37" s="74" t="s">
        <v>34</v>
      </c>
      <c r="G37" s="94">
        <v>0.8</v>
      </c>
      <c r="H37" s="93">
        <f t="shared" si="0"/>
        <v>6515</v>
      </c>
    </row>
    <row r="38" spans="1:8" ht="15.75" hidden="1">
      <c r="A38" s="79"/>
      <c r="B38" s="80"/>
      <c r="C38" s="80"/>
      <c r="D38" s="80"/>
      <c r="E38" s="80"/>
      <c r="F38" s="81"/>
      <c r="G38" s="82"/>
      <c r="H38" s="100">
        <f t="shared" si="0"/>
        <v>0</v>
      </c>
    </row>
    <row r="39" spans="1:8" ht="15.75" customHeight="1" hidden="1">
      <c r="A39" s="84"/>
      <c r="B39" s="184" t="s">
        <v>110</v>
      </c>
      <c r="C39" s="184"/>
      <c r="D39" s="184"/>
      <c r="E39" s="184"/>
      <c r="H39" s="25">
        <f t="shared" si="0"/>
        <v>0</v>
      </c>
    </row>
    <row r="40" spans="1:8" ht="15.75" customHeight="1" hidden="1">
      <c r="A40" s="84"/>
      <c r="B40" s="185" t="s">
        <v>115</v>
      </c>
      <c r="C40" s="185"/>
      <c r="D40" s="185"/>
      <c r="E40" s="185"/>
      <c r="H40" s="25">
        <f t="shared" si="0"/>
        <v>0</v>
      </c>
    </row>
    <row r="41" spans="1:8" ht="15.75" customHeight="1" hidden="1">
      <c r="A41" s="84"/>
      <c r="B41" s="185" t="s">
        <v>116</v>
      </c>
      <c r="C41" s="185"/>
      <c r="D41" s="185"/>
      <c r="E41" s="185"/>
      <c r="H41" s="25">
        <f t="shared" si="0"/>
        <v>0</v>
      </c>
    </row>
    <row r="42" spans="1:8" ht="15.75" hidden="1">
      <c r="A42" t="s">
        <v>111</v>
      </c>
      <c r="H42" s="25">
        <f t="shared" si="0"/>
        <v>0</v>
      </c>
    </row>
    <row r="43" spans="1:8" ht="15.75" hidden="1">
      <c r="A43" t="s">
        <v>112</v>
      </c>
      <c r="H43" s="25">
        <f t="shared" si="0"/>
        <v>0</v>
      </c>
    </row>
    <row r="44" spans="1:8" ht="16.5" hidden="1" thickBot="1">
      <c r="A44" t="s">
        <v>113</v>
      </c>
      <c r="H44" s="93">
        <f t="shared" si="0"/>
        <v>0</v>
      </c>
    </row>
    <row r="45" spans="2:5" ht="20.25" customHeight="1">
      <c r="B45" s="198" t="s">
        <v>128</v>
      </c>
      <c r="C45" s="198"/>
      <c r="D45" s="198"/>
      <c r="E45" s="198"/>
    </row>
    <row r="46" spans="2:5" ht="13.5" customHeight="1">
      <c r="B46" s="99"/>
      <c r="C46" s="99"/>
      <c r="D46" s="99"/>
      <c r="E46" s="99"/>
    </row>
    <row r="47" spans="2:5" ht="15.75">
      <c r="B47" t="s">
        <v>129</v>
      </c>
      <c r="C47" s="99"/>
      <c r="D47" s="99"/>
      <c r="E47" s="99"/>
    </row>
    <row r="49" spans="2:8" ht="15.75">
      <c r="B49" s="17" t="s">
        <v>123</v>
      </c>
      <c r="C49" s="17"/>
      <c r="D49" s="17"/>
      <c r="E49" s="17" t="s">
        <v>124</v>
      </c>
      <c r="F49" s="17"/>
      <c r="G49" s="17"/>
      <c r="H49" s="98"/>
    </row>
    <row r="50" ht="13.5" customHeight="1"/>
    <row r="51" spans="2:5" ht="15.75">
      <c r="B51" s="17" t="s">
        <v>125</v>
      </c>
      <c r="C51" s="17"/>
      <c r="D51" s="17"/>
      <c r="E51" t="s">
        <v>126</v>
      </c>
    </row>
  </sheetData>
  <mergeCells count="32">
    <mergeCell ref="B40:E40"/>
    <mergeCell ref="B41:E41"/>
    <mergeCell ref="D1:H1"/>
    <mergeCell ref="A4:H4"/>
    <mergeCell ref="B6:E6"/>
    <mergeCell ref="B13:D13"/>
    <mergeCell ref="B35:D35"/>
    <mergeCell ref="B36:F36"/>
    <mergeCell ref="B37:D37"/>
    <mergeCell ref="B27:D27"/>
    <mergeCell ref="B28:D28"/>
    <mergeCell ref="B39:E39"/>
    <mergeCell ref="B33:D33"/>
    <mergeCell ref="B34:D34"/>
    <mergeCell ref="B29:D29"/>
    <mergeCell ref="B30:D30"/>
    <mergeCell ref="B31:D31"/>
    <mergeCell ref="B32:D32"/>
    <mergeCell ref="B23:D23"/>
    <mergeCell ref="B24:D24"/>
    <mergeCell ref="B25:D25"/>
    <mergeCell ref="B26:D26"/>
    <mergeCell ref="B12:D12"/>
    <mergeCell ref="B14:F14"/>
    <mergeCell ref="B15:F15"/>
    <mergeCell ref="B45:E45"/>
    <mergeCell ref="B16:F16"/>
    <mergeCell ref="B17:F17"/>
    <mergeCell ref="B19:D19"/>
    <mergeCell ref="B20:D20"/>
    <mergeCell ref="B21:D21"/>
    <mergeCell ref="B22:D22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5" sqref="E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55" t="s">
        <v>148</v>
      </c>
      <c r="B1" s="155"/>
      <c r="C1" s="155"/>
      <c r="D1" s="155"/>
      <c r="E1" s="155"/>
      <c r="F1" s="155"/>
      <c r="G1" s="155"/>
      <c r="H1" s="155"/>
      <c r="I1" s="155"/>
    </row>
    <row r="2" spans="1:9" ht="15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ht="14.25" customHeight="1">
      <c r="A3" s="85"/>
      <c r="B3" s="85"/>
      <c r="C3" s="85"/>
      <c r="D3" s="85"/>
      <c r="E3" s="85"/>
      <c r="F3" s="85"/>
      <c r="G3" s="85"/>
      <c r="H3" s="85"/>
      <c r="I3" s="85"/>
    </row>
    <row r="4" spans="1:7" ht="31.5" customHeight="1">
      <c r="A4" t="s">
        <v>37</v>
      </c>
      <c r="B4" s="1" t="s">
        <v>36</v>
      </c>
      <c r="C4" s="2"/>
      <c r="D4" s="101" t="s">
        <v>135</v>
      </c>
      <c r="E4" s="102">
        <v>2714.5</v>
      </c>
      <c r="F4" s="2"/>
      <c r="G4" s="2"/>
    </row>
    <row r="5" spans="2:7" ht="15.75">
      <c r="B5" s="3" t="s">
        <v>1</v>
      </c>
      <c r="C5" s="103">
        <v>5</v>
      </c>
      <c r="D5" s="2" t="s">
        <v>2</v>
      </c>
      <c r="E5" s="16">
        <v>60</v>
      </c>
      <c r="F5" s="2"/>
      <c r="G5" s="2"/>
    </row>
    <row r="6" spans="2:8" ht="15.75">
      <c r="B6" s="3" t="s">
        <v>3</v>
      </c>
      <c r="C6" s="4">
        <v>4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75.75" customHeight="1">
      <c r="A8" s="26" t="s">
        <v>31</v>
      </c>
      <c r="B8" s="194" t="s">
        <v>51</v>
      </c>
      <c r="C8" s="195"/>
      <c r="D8" s="196"/>
      <c r="E8" s="21" t="s">
        <v>6</v>
      </c>
      <c r="F8" s="21" t="s">
        <v>7</v>
      </c>
      <c r="G8" s="104" t="s">
        <v>136</v>
      </c>
      <c r="H8" s="68" t="s">
        <v>137</v>
      </c>
      <c r="I8" s="69" t="s">
        <v>138</v>
      </c>
    </row>
    <row r="9" spans="1:9" ht="26.25" customHeight="1">
      <c r="A9" s="88">
        <v>1</v>
      </c>
      <c r="B9" s="157">
        <v>2</v>
      </c>
      <c r="C9" s="158"/>
      <c r="D9" s="159"/>
      <c r="E9" s="89">
        <v>3</v>
      </c>
      <c r="F9" s="89"/>
      <c r="G9" s="105">
        <v>4</v>
      </c>
      <c r="H9" s="106">
        <v>5</v>
      </c>
      <c r="I9" s="107" t="s">
        <v>139</v>
      </c>
    </row>
    <row r="10" spans="1:9" ht="15.75" customHeight="1">
      <c r="A10" s="27">
        <v>1</v>
      </c>
      <c r="B10" s="197" t="s">
        <v>43</v>
      </c>
      <c r="C10" s="197"/>
      <c r="D10" s="197"/>
      <c r="E10" s="197"/>
      <c r="F10" s="197"/>
      <c r="G10" s="90"/>
      <c r="H10" s="28"/>
      <c r="I10" s="70"/>
    </row>
    <row r="11" spans="1:9" ht="28.5" customHeight="1">
      <c r="A11" s="27"/>
      <c r="B11" s="150" t="s">
        <v>101</v>
      </c>
      <c r="C11" s="150"/>
      <c r="D11" s="150"/>
      <c r="E11" s="150"/>
      <c r="F11" s="150"/>
      <c r="G11" s="14">
        <f>G32</f>
        <v>10.91</v>
      </c>
      <c r="H11" s="14">
        <f>H32</f>
        <v>11.619999999999997</v>
      </c>
      <c r="I11" s="25">
        <f>ROUND($E$4*G11*6,0)+ROUND($E$4*H11*6,0)</f>
        <v>366946</v>
      </c>
    </row>
    <row r="12" spans="1:9" ht="15.75" customHeight="1">
      <c r="A12" s="27"/>
      <c r="B12" s="193" t="s">
        <v>44</v>
      </c>
      <c r="C12" s="193"/>
      <c r="D12" s="193"/>
      <c r="E12" s="193"/>
      <c r="F12" s="193"/>
      <c r="G12" s="14">
        <f>G33</f>
        <v>0.8</v>
      </c>
      <c r="H12" s="13">
        <f>H33</f>
        <v>0.85</v>
      </c>
      <c r="I12" s="25">
        <f aca="true" t="shared" si="0" ref="I12:I33">ROUND($E$4*G12*6,0)+ROUND($E$4*H12*6,0)</f>
        <v>26874</v>
      </c>
    </row>
    <row r="13" spans="1:9" ht="18.75" customHeight="1">
      <c r="A13" s="27">
        <v>2</v>
      </c>
      <c r="B13" s="151" t="s">
        <v>45</v>
      </c>
      <c r="C13" s="151"/>
      <c r="D13" s="151"/>
      <c r="E13" s="151"/>
      <c r="F13" s="151"/>
      <c r="G13" s="13"/>
      <c r="H13" s="29"/>
      <c r="I13" s="25"/>
    </row>
    <row r="14" spans="1:9" ht="15.75" customHeight="1">
      <c r="A14" s="27" t="s">
        <v>62</v>
      </c>
      <c r="B14" s="10" t="s">
        <v>46</v>
      </c>
      <c r="C14" s="10"/>
      <c r="D14" s="10"/>
      <c r="E14" s="10"/>
      <c r="F14" s="5"/>
      <c r="G14" s="29"/>
      <c r="H14" s="39"/>
      <c r="I14" s="25"/>
    </row>
    <row r="15" spans="1:9" ht="16.5" customHeight="1">
      <c r="A15" s="71"/>
      <c r="B15" s="191" t="s">
        <v>140</v>
      </c>
      <c r="C15" s="191"/>
      <c r="D15" s="191"/>
      <c r="E15" s="48" t="s">
        <v>28</v>
      </c>
      <c r="F15" s="30" t="s">
        <v>22</v>
      </c>
      <c r="G15" s="31">
        <v>1.12</v>
      </c>
      <c r="H15" s="31">
        <v>1.19</v>
      </c>
      <c r="I15" s="25">
        <f t="shared" si="0"/>
        <v>37623</v>
      </c>
    </row>
    <row r="16" spans="1:9" ht="18" customHeight="1">
      <c r="A16" s="71"/>
      <c r="B16" s="191" t="s">
        <v>16</v>
      </c>
      <c r="C16" s="191"/>
      <c r="D16" s="191"/>
      <c r="E16" s="48" t="s">
        <v>28</v>
      </c>
      <c r="F16" s="30" t="s">
        <v>17</v>
      </c>
      <c r="G16" s="31">
        <v>0.3</v>
      </c>
      <c r="H16" s="31">
        <v>0.32</v>
      </c>
      <c r="I16" s="25">
        <f t="shared" si="0"/>
        <v>10098</v>
      </c>
    </row>
    <row r="17" spans="1:9" ht="15.75" customHeight="1">
      <c r="A17" s="71"/>
      <c r="B17" s="189" t="s">
        <v>141</v>
      </c>
      <c r="C17" s="189"/>
      <c r="D17" s="189"/>
      <c r="E17" s="52" t="s">
        <v>64</v>
      </c>
      <c r="F17" s="32" t="s">
        <v>18</v>
      </c>
      <c r="G17" s="31">
        <v>0.11</v>
      </c>
      <c r="H17" s="31">
        <v>0.12</v>
      </c>
      <c r="I17" s="25">
        <f t="shared" si="0"/>
        <v>3746</v>
      </c>
    </row>
    <row r="18" spans="1:9" ht="15.75">
      <c r="A18" s="71"/>
      <c r="B18" s="192" t="s">
        <v>27</v>
      </c>
      <c r="C18" s="192"/>
      <c r="D18" s="192"/>
      <c r="E18" s="54" t="s">
        <v>8</v>
      </c>
      <c r="F18" s="33" t="s">
        <v>9</v>
      </c>
      <c r="G18" s="31">
        <v>0.54</v>
      </c>
      <c r="H18" s="31">
        <v>0.58</v>
      </c>
      <c r="I18" s="25">
        <f t="shared" si="0"/>
        <v>18241</v>
      </c>
    </row>
    <row r="19" spans="1:9" ht="51">
      <c r="A19" s="71"/>
      <c r="B19" s="189" t="s">
        <v>25</v>
      </c>
      <c r="C19" s="189"/>
      <c r="D19" s="189"/>
      <c r="E19" s="52" t="s">
        <v>65</v>
      </c>
      <c r="F19" s="32" t="s">
        <v>23</v>
      </c>
      <c r="G19" s="31">
        <v>0.13</v>
      </c>
      <c r="H19" s="31">
        <v>0.14</v>
      </c>
      <c r="I19" s="25">
        <f t="shared" si="0"/>
        <v>4397</v>
      </c>
    </row>
    <row r="20" spans="1:9" ht="16.5" customHeight="1">
      <c r="A20" s="71"/>
      <c r="B20" s="189" t="s">
        <v>10</v>
      </c>
      <c r="C20" s="189"/>
      <c r="D20" s="189"/>
      <c r="E20" s="52" t="s">
        <v>8</v>
      </c>
      <c r="F20" s="32" t="s">
        <v>11</v>
      </c>
      <c r="G20" s="92">
        <v>0</v>
      </c>
      <c r="H20" s="31">
        <v>0</v>
      </c>
      <c r="I20" s="25">
        <f t="shared" si="0"/>
        <v>0</v>
      </c>
    </row>
    <row r="21" spans="1:9" ht="15.75">
      <c r="A21" s="71"/>
      <c r="B21" s="189" t="s">
        <v>24</v>
      </c>
      <c r="C21" s="190"/>
      <c r="D21" s="190"/>
      <c r="E21" s="55" t="s">
        <v>12</v>
      </c>
      <c r="F21" s="29" t="s">
        <v>103</v>
      </c>
      <c r="G21" s="31">
        <v>0.05</v>
      </c>
      <c r="H21" s="31">
        <v>0.05</v>
      </c>
      <c r="I21" s="25">
        <f t="shared" si="0"/>
        <v>1628</v>
      </c>
    </row>
    <row r="22" spans="1:9" ht="38.25">
      <c r="A22" s="71"/>
      <c r="B22" s="189" t="s">
        <v>66</v>
      </c>
      <c r="C22" s="189"/>
      <c r="D22" s="189"/>
      <c r="E22" s="48" t="s">
        <v>142</v>
      </c>
      <c r="F22" s="32" t="s">
        <v>34</v>
      </c>
      <c r="G22" s="31">
        <v>1.63</v>
      </c>
      <c r="H22" s="31">
        <v>1.74</v>
      </c>
      <c r="I22" s="25">
        <f t="shared" si="0"/>
        <v>54887</v>
      </c>
    </row>
    <row r="23" spans="1:9" ht="51">
      <c r="A23" s="71"/>
      <c r="B23" s="191" t="s">
        <v>14</v>
      </c>
      <c r="C23" s="191"/>
      <c r="D23" s="191"/>
      <c r="E23" s="48" t="s">
        <v>47</v>
      </c>
      <c r="F23" s="32" t="s">
        <v>34</v>
      </c>
      <c r="G23" s="31">
        <v>0.47</v>
      </c>
      <c r="H23" s="31">
        <v>0.5</v>
      </c>
      <c r="I23" s="25">
        <f t="shared" si="0"/>
        <v>15799</v>
      </c>
    </row>
    <row r="24" spans="1:9" ht="30.75" customHeight="1">
      <c r="A24" s="71"/>
      <c r="B24" s="189" t="s">
        <v>30</v>
      </c>
      <c r="C24" s="190"/>
      <c r="D24" s="190"/>
      <c r="E24" s="48" t="s">
        <v>29</v>
      </c>
      <c r="F24" s="32" t="s">
        <v>34</v>
      </c>
      <c r="G24" s="31">
        <f>4.32-G25-G26</f>
        <v>4.32</v>
      </c>
      <c r="H24" s="31">
        <f>4.6-H25-H26</f>
        <v>4.6</v>
      </c>
      <c r="I24" s="25">
        <f t="shared" si="0"/>
        <v>145280</v>
      </c>
    </row>
    <row r="25" spans="1:9" ht="16.5" customHeight="1">
      <c r="A25" s="71"/>
      <c r="B25" s="189" t="s">
        <v>104</v>
      </c>
      <c r="C25" s="189"/>
      <c r="D25" s="189"/>
      <c r="E25" s="52" t="s">
        <v>8</v>
      </c>
      <c r="F25" s="32" t="s">
        <v>34</v>
      </c>
      <c r="G25" s="92">
        <v>0</v>
      </c>
      <c r="H25" s="31">
        <v>0</v>
      </c>
      <c r="I25" s="25">
        <f t="shared" si="0"/>
        <v>0</v>
      </c>
    </row>
    <row r="26" spans="1:9" ht="15.75" customHeight="1">
      <c r="A26" s="71"/>
      <c r="B26" s="189" t="s">
        <v>69</v>
      </c>
      <c r="C26" s="189"/>
      <c r="D26" s="189"/>
      <c r="E26" s="52" t="s">
        <v>8</v>
      </c>
      <c r="F26" s="32" t="s">
        <v>34</v>
      </c>
      <c r="G26" s="92">
        <v>0</v>
      </c>
      <c r="H26" s="31">
        <v>0</v>
      </c>
      <c r="I26" s="25">
        <f t="shared" si="0"/>
        <v>0</v>
      </c>
    </row>
    <row r="27" spans="1:9" ht="26.25" customHeight="1">
      <c r="A27" s="71"/>
      <c r="B27" s="190" t="s">
        <v>143</v>
      </c>
      <c r="C27" s="190"/>
      <c r="D27" s="190"/>
      <c r="E27" s="48" t="s">
        <v>29</v>
      </c>
      <c r="F27" s="32" t="s">
        <v>34</v>
      </c>
      <c r="G27" s="31">
        <v>1.12</v>
      </c>
      <c r="H27" s="31">
        <v>1.19</v>
      </c>
      <c r="I27" s="25">
        <f t="shared" si="0"/>
        <v>37623</v>
      </c>
    </row>
    <row r="28" spans="1:9" ht="15.75" hidden="1">
      <c r="A28" s="71"/>
      <c r="B28" s="175" t="s">
        <v>70</v>
      </c>
      <c r="C28" s="163"/>
      <c r="D28" s="164"/>
      <c r="E28" s="52" t="s">
        <v>8</v>
      </c>
      <c r="F28" s="32"/>
      <c r="G28" s="31"/>
      <c r="H28" s="31"/>
      <c r="I28" s="25">
        <f t="shared" si="0"/>
        <v>0</v>
      </c>
    </row>
    <row r="29" spans="1:9" ht="15.75" hidden="1">
      <c r="A29" s="71"/>
      <c r="B29" s="175" t="s">
        <v>71</v>
      </c>
      <c r="C29" s="163"/>
      <c r="D29" s="164"/>
      <c r="E29" s="48"/>
      <c r="F29" s="32"/>
      <c r="G29" s="31"/>
      <c r="H29" s="31"/>
      <c r="I29" s="25">
        <f t="shared" si="0"/>
        <v>0</v>
      </c>
    </row>
    <row r="30" spans="1:9" ht="15.75">
      <c r="A30" s="71"/>
      <c r="B30" s="186" t="s">
        <v>26</v>
      </c>
      <c r="C30" s="187"/>
      <c r="D30" s="188"/>
      <c r="E30" s="7"/>
      <c r="F30" s="32"/>
      <c r="G30" s="11">
        <f>SUM(G15:G29)</f>
        <v>9.79</v>
      </c>
      <c r="H30" s="11">
        <f>SUM(H15:H29)</f>
        <v>10.429999999999998</v>
      </c>
      <c r="I30" s="25">
        <f t="shared" si="0"/>
        <v>329323</v>
      </c>
    </row>
    <row r="31" spans="1:9" ht="16.5" customHeight="1">
      <c r="A31" s="27" t="s">
        <v>72</v>
      </c>
      <c r="B31" s="170" t="s">
        <v>127</v>
      </c>
      <c r="C31" s="171"/>
      <c r="D31" s="171"/>
      <c r="E31" s="108" t="s">
        <v>144</v>
      </c>
      <c r="F31" s="109" t="s">
        <v>34</v>
      </c>
      <c r="G31" s="14">
        <v>1.12</v>
      </c>
      <c r="H31" s="14">
        <v>1.19</v>
      </c>
      <c r="I31" s="25">
        <f t="shared" si="0"/>
        <v>37623</v>
      </c>
    </row>
    <row r="32" spans="1:9" ht="15.75">
      <c r="A32" s="27" t="s">
        <v>74</v>
      </c>
      <c r="B32" s="202" t="s">
        <v>105</v>
      </c>
      <c r="C32" s="203"/>
      <c r="D32" s="204"/>
      <c r="E32" s="10"/>
      <c r="F32" s="110"/>
      <c r="G32" s="11">
        <f>SUM(G30:G31)</f>
        <v>10.91</v>
      </c>
      <c r="H32" s="11">
        <f>SUM(H30:H31)</f>
        <v>11.619999999999997</v>
      </c>
      <c r="I32" s="25">
        <f t="shared" si="0"/>
        <v>366946</v>
      </c>
    </row>
    <row r="33" spans="1:9" ht="17.25" customHeight="1" thickBot="1">
      <c r="A33" s="73">
        <v>3</v>
      </c>
      <c r="B33" s="180" t="s">
        <v>109</v>
      </c>
      <c r="C33" s="181"/>
      <c r="D33" s="182"/>
      <c r="E33" s="34" t="s">
        <v>118</v>
      </c>
      <c r="F33" s="74" t="s">
        <v>34</v>
      </c>
      <c r="G33" s="94">
        <v>0.8</v>
      </c>
      <c r="H33" s="34">
        <v>0.85</v>
      </c>
      <c r="I33" s="93">
        <f t="shared" si="0"/>
        <v>26874</v>
      </c>
    </row>
    <row r="34" spans="1:6" ht="42" customHeight="1">
      <c r="A34" s="205" t="s">
        <v>145</v>
      </c>
      <c r="B34" s="205"/>
      <c r="C34" s="205"/>
      <c r="D34" s="205"/>
      <c r="E34" s="205"/>
      <c r="F34" s="111"/>
    </row>
    <row r="35" spans="1:6" ht="15.75" customHeight="1">
      <c r="A35" s="84"/>
      <c r="B35" s="185"/>
      <c r="C35" s="185"/>
      <c r="D35" s="185"/>
      <c r="E35" s="185"/>
      <c r="F35" s="111"/>
    </row>
    <row r="37" spans="2:10" ht="15.75">
      <c r="B37" s="17" t="s">
        <v>146</v>
      </c>
      <c r="E37" s="168" t="s">
        <v>147</v>
      </c>
      <c r="F37" s="168"/>
      <c r="G37" s="168"/>
      <c r="H37" s="168"/>
      <c r="I37" s="183"/>
      <c r="J37" s="183"/>
    </row>
  </sheetData>
  <mergeCells count="30">
    <mergeCell ref="E37:H37"/>
    <mergeCell ref="I37:J37"/>
    <mergeCell ref="B32:D32"/>
    <mergeCell ref="B33:D33"/>
    <mergeCell ref="A34:E34"/>
    <mergeCell ref="B35:E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30">
      <selection activeCell="H30" sqref="H1:H16384"/>
    </sheetView>
  </sheetViews>
  <sheetFormatPr defaultColWidth="9.00390625" defaultRowHeight="15.75"/>
  <cols>
    <col min="1" max="1" width="3.875" style="0" customWidth="1"/>
    <col min="2" max="2" width="36.125" style="0" customWidth="1"/>
    <col min="3" max="3" width="3.75390625" style="0" customWidth="1"/>
    <col min="4" max="4" width="23.375" style="0" customWidth="1"/>
    <col min="5" max="5" width="23.125" style="0" customWidth="1"/>
    <col min="6" max="6" width="22.50390625" style="0" hidden="1" customWidth="1"/>
    <col min="7" max="7" width="9.25390625" style="0" hidden="1" customWidth="1"/>
    <col min="8" max="8" width="10.625" style="0" hidden="1" customWidth="1"/>
    <col min="9" max="9" width="11.625" style="0" hidden="1" customWidth="1"/>
    <col min="10" max="10" width="30.00390625" style="0" customWidth="1"/>
    <col min="11" max="11" width="0" style="0" hidden="1" customWidth="1"/>
    <col min="12" max="12" width="13.125" style="0" hidden="1" customWidth="1"/>
  </cols>
  <sheetData>
    <row r="1" spans="1:10" ht="110.25" customHeight="1">
      <c r="A1" s="206" t="s">
        <v>159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64.5" customHeight="1">
      <c r="A2" s="207" t="s">
        <v>149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6" ht="31.5">
      <c r="A3" s="1"/>
      <c r="B3" s="1" t="s">
        <v>160</v>
      </c>
      <c r="C3" s="2"/>
      <c r="D3" s="101" t="s">
        <v>135</v>
      </c>
      <c r="E3" s="113">
        <v>2693.8</v>
      </c>
      <c r="F3" s="2"/>
    </row>
    <row r="4" spans="2:6" ht="15.75">
      <c r="B4" s="3" t="s">
        <v>1</v>
      </c>
      <c r="C4" s="103">
        <v>5</v>
      </c>
      <c r="D4" s="2" t="s">
        <v>2</v>
      </c>
      <c r="E4" s="16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12" t="s">
        <v>31</v>
      </c>
      <c r="B7" s="157" t="s">
        <v>51</v>
      </c>
      <c r="C7" s="158"/>
      <c r="D7" s="159"/>
      <c r="E7" s="6" t="s">
        <v>6</v>
      </c>
      <c r="F7" s="6" t="s">
        <v>7</v>
      </c>
      <c r="G7" s="114" t="s">
        <v>150</v>
      </c>
      <c r="H7" s="160" t="s">
        <v>151</v>
      </c>
      <c r="I7" s="161"/>
      <c r="J7" s="162"/>
      <c r="K7" s="22">
        <v>3</v>
      </c>
      <c r="L7" s="115" t="s">
        <v>152</v>
      </c>
    </row>
    <row r="8" spans="1:10" ht="15.75">
      <c r="A8" s="13">
        <v>1</v>
      </c>
      <c r="B8" s="146"/>
      <c r="C8" s="147"/>
      <c r="D8" s="147"/>
      <c r="E8" s="147"/>
      <c r="F8" s="148"/>
      <c r="G8" s="116"/>
      <c r="H8" s="117" t="s">
        <v>53</v>
      </c>
      <c r="I8" s="40" t="s">
        <v>54</v>
      </c>
      <c r="J8" s="40" t="s">
        <v>55</v>
      </c>
    </row>
    <row r="9" spans="1:10" ht="15.75">
      <c r="A9" s="13"/>
      <c r="B9" s="146" t="s">
        <v>56</v>
      </c>
      <c r="C9" s="147"/>
      <c r="D9" s="147"/>
      <c r="E9" s="147"/>
      <c r="F9" s="148"/>
      <c r="G9" s="23"/>
      <c r="H9" s="23"/>
      <c r="I9" s="23"/>
      <c r="J9" s="40"/>
    </row>
    <row r="10" spans="1:10" ht="15.75">
      <c r="A10" s="41"/>
      <c r="B10" s="149" t="s">
        <v>57</v>
      </c>
      <c r="C10" s="149"/>
      <c r="D10" s="149"/>
      <c r="E10" s="149"/>
      <c r="F10" s="149"/>
      <c r="G10" s="8"/>
      <c r="H10" s="42">
        <v>91866.51</v>
      </c>
      <c r="I10" s="28"/>
      <c r="J10" s="43">
        <f>H10+I10</f>
        <v>91866.51</v>
      </c>
    </row>
    <row r="11" spans="1:10" ht="15.75">
      <c r="A11" s="41"/>
      <c r="B11" s="149" t="s">
        <v>58</v>
      </c>
      <c r="C11" s="149"/>
      <c r="D11" s="149"/>
      <c r="E11" s="149"/>
      <c r="F11" s="149"/>
      <c r="G11" s="8"/>
      <c r="H11" s="9">
        <v>5665.37</v>
      </c>
      <c r="I11" s="28"/>
      <c r="J11" s="43">
        <f>H11+I11</f>
        <v>5665.37</v>
      </c>
    </row>
    <row r="12" spans="1:10" ht="15.75">
      <c r="A12" s="13"/>
      <c r="B12" s="149" t="s">
        <v>59</v>
      </c>
      <c r="C12" s="149"/>
      <c r="D12" s="149"/>
      <c r="E12" s="149"/>
      <c r="F12" s="149"/>
      <c r="G12" s="8"/>
      <c r="H12" s="42"/>
      <c r="I12" s="28">
        <v>0</v>
      </c>
      <c r="J12" s="43">
        <f>H12+I12</f>
        <v>0</v>
      </c>
    </row>
    <row r="13" spans="1:10" ht="15.75">
      <c r="A13" s="13"/>
      <c r="B13" s="149" t="s">
        <v>60</v>
      </c>
      <c r="C13" s="149"/>
      <c r="D13" s="149"/>
      <c r="E13" s="149"/>
      <c r="F13" s="149"/>
      <c r="G13" s="8"/>
      <c r="H13" s="42">
        <v>0</v>
      </c>
      <c r="I13" s="44">
        <v>0</v>
      </c>
      <c r="J13" s="43">
        <f>H13+I13</f>
        <v>0</v>
      </c>
    </row>
    <row r="14" spans="1:10" ht="15.75">
      <c r="A14" s="13"/>
      <c r="B14" s="150" t="s">
        <v>61</v>
      </c>
      <c r="C14" s="150"/>
      <c r="D14" s="150"/>
      <c r="E14" s="150"/>
      <c r="F14" s="150"/>
      <c r="G14" s="8"/>
      <c r="H14" s="20">
        <f>SUM(H10:H12)</f>
        <v>97531.87999999999</v>
      </c>
      <c r="I14" s="45">
        <f>SUM(I10:I12)</f>
        <v>0</v>
      </c>
      <c r="J14" s="20">
        <f>SUM(J10:J13)</f>
        <v>97531.87999999999</v>
      </c>
    </row>
    <row r="15" spans="1:10" ht="18.75">
      <c r="A15" s="13">
        <v>2</v>
      </c>
      <c r="B15" s="208" t="s">
        <v>45</v>
      </c>
      <c r="C15" s="208"/>
      <c r="D15" s="208"/>
      <c r="E15" s="208"/>
      <c r="F15" s="208"/>
      <c r="G15" s="8"/>
      <c r="H15" s="42"/>
      <c r="I15" s="28"/>
      <c r="J15" s="24"/>
    </row>
    <row r="16" spans="1:10" ht="15.75">
      <c r="A16" s="13" t="s">
        <v>62</v>
      </c>
      <c r="B16" s="118" t="s">
        <v>46</v>
      </c>
      <c r="C16" s="118"/>
      <c r="D16" s="118"/>
      <c r="E16" s="118"/>
      <c r="F16" s="119"/>
      <c r="G16" s="117"/>
      <c r="H16" s="117"/>
      <c r="I16" s="36"/>
      <c r="J16" s="40"/>
    </row>
    <row r="17" spans="1:10" ht="33" customHeight="1">
      <c r="A17" s="47"/>
      <c r="B17" s="152" t="s">
        <v>153</v>
      </c>
      <c r="C17" s="152"/>
      <c r="D17" s="152"/>
      <c r="E17" s="120" t="s">
        <v>28</v>
      </c>
      <c r="F17" s="30" t="s">
        <v>22</v>
      </c>
      <c r="G17" s="31">
        <v>1.12</v>
      </c>
      <c r="H17" s="49">
        <f>ROUND($E$3*G17*$K$7,2)</f>
        <v>9051.17</v>
      </c>
      <c r="I17" s="50"/>
      <c r="J17" s="51">
        <f>SUM(H17:I17)</f>
        <v>9051.17</v>
      </c>
    </row>
    <row r="18" spans="1:10" ht="17.25" customHeight="1">
      <c r="A18" s="13"/>
      <c r="B18" s="153" t="s">
        <v>16</v>
      </c>
      <c r="C18" s="153"/>
      <c r="D18" s="153"/>
      <c r="E18" s="120" t="s">
        <v>28</v>
      </c>
      <c r="F18" s="30" t="s">
        <v>17</v>
      </c>
      <c r="G18" s="31">
        <v>0.3</v>
      </c>
      <c r="H18" s="49">
        <f>ROUND($E$3*G18*$K$7,2)</f>
        <v>2424.42</v>
      </c>
      <c r="I18" s="50"/>
      <c r="J18" s="51">
        <f>SUM(H18:I18)</f>
        <v>2424.42</v>
      </c>
    </row>
    <row r="19" spans="1:10" ht="20.25" customHeight="1">
      <c r="A19" s="13"/>
      <c r="B19" s="154" t="s">
        <v>21</v>
      </c>
      <c r="C19" s="154"/>
      <c r="D19" s="154"/>
      <c r="E19" s="96" t="s">
        <v>64</v>
      </c>
      <c r="F19" s="32" t="s">
        <v>18</v>
      </c>
      <c r="G19" s="31">
        <v>0.41</v>
      </c>
      <c r="H19" s="49">
        <f>J19-I19</f>
        <v>682.61</v>
      </c>
      <c r="I19" s="50"/>
      <c r="J19" s="53">
        <v>682.61</v>
      </c>
    </row>
    <row r="20" spans="1:10" ht="20.25" customHeight="1">
      <c r="A20" s="47"/>
      <c r="B20" s="152" t="s">
        <v>27</v>
      </c>
      <c r="C20" s="152"/>
      <c r="D20" s="152"/>
      <c r="E20" s="121" t="s">
        <v>8</v>
      </c>
      <c r="F20" s="33" t="s">
        <v>9</v>
      </c>
      <c r="G20" s="31">
        <v>0.54</v>
      </c>
      <c r="H20" s="49">
        <f>ROUND($E$3*G20*$K$7,2)</f>
        <v>4363.96</v>
      </c>
      <c r="I20" s="50"/>
      <c r="J20" s="51">
        <f>SUM(H20:I20)</f>
        <v>4363.96</v>
      </c>
    </row>
    <row r="21" spans="1:10" ht="60.75" customHeight="1">
      <c r="A21" s="13"/>
      <c r="B21" s="154" t="s">
        <v>25</v>
      </c>
      <c r="C21" s="154"/>
      <c r="D21" s="154"/>
      <c r="E21" s="96" t="s">
        <v>65</v>
      </c>
      <c r="F21" s="32" t="s">
        <v>23</v>
      </c>
      <c r="G21" s="31">
        <v>0.13</v>
      </c>
      <c r="H21" s="49">
        <f>J21-I21</f>
        <v>315</v>
      </c>
      <c r="I21" s="50"/>
      <c r="J21" s="53">
        <v>315</v>
      </c>
    </row>
    <row r="22" spans="1:10" ht="20.25" customHeight="1">
      <c r="A22" s="47"/>
      <c r="B22" s="154" t="s">
        <v>10</v>
      </c>
      <c r="C22" s="154"/>
      <c r="D22" s="154"/>
      <c r="E22" s="96" t="s">
        <v>8</v>
      </c>
      <c r="F22" s="32" t="s">
        <v>11</v>
      </c>
      <c r="G22" s="92">
        <v>0</v>
      </c>
      <c r="H22" s="49">
        <f>ROUND($E$3*G22*$K$7,2)</f>
        <v>0</v>
      </c>
      <c r="I22" s="50"/>
      <c r="J22" s="53">
        <v>0</v>
      </c>
    </row>
    <row r="23" spans="1:10" ht="20.25" customHeight="1">
      <c r="A23" s="47"/>
      <c r="B23" s="154" t="s">
        <v>24</v>
      </c>
      <c r="C23" s="144"/>
      <c r="D23" s="144"/>
      <c r="E23" s="122" t="s">
        <v>12</v>
      </c>
      <c r="F23" s="29" t="s">
        <v>13</v>
      </c>
      <c r="G23" s="31">
        <v>0.05</v>
      </c>
      <c r="H23" s="49">
        <f>J23-I23</f>
        <v>1821.9</v>
      </c>
      <c r="I23" s="50"/>
      <c r="J23" s="53">
        <v>1821.9</v>
      </c>
    </row>
    <row r="24" spans="1:10" ht="28.5" customHeight="1">
      <c r="A24" s="13"/>
      <c r="B24" s="154" t="s">
        <v>66</v>
      </c>
      <c r="C24" s="154"/>
      <c r="D24" s="154"/>
      <c r="E24" s="120" t="s">
        <v>29</v>
      </c>
      <c r="F24" s="56" t="s">
        <v>67</v>
      </c>
      <c r="G24" s="31">
        <v>1.63</v>
      </c>
      <c r="H24" s="49">
        <f aca="true" t="shared" si="0" ref="H24:H29">ROUND($E$3*G24*$K$7,2)</f>
        <v>13172.68</v>
      </c>
      <c r="I24" s="50"/>
      <c r="J24" s="51">
        <f aca="true" t="shared" si="1" ref="J24:J29">SUM(H24:I24)</f>
        <v>13172.68</v>
      </c>
    </row>
    <row r="25" spans="1:10" ht="26.25" customHeight="1">
      <c r="A25" s="13"/>
      <c r="B25" s="153" t="s">
        <v>14</v>
      </c>
      <c r="C25" s="153"/>
      <c r="D25" s="153"/>
      <c r="E25" s="120" t="s">
        <v>29</v>
      </c>
      <c r="F25" s="56" t="s">
        <v>67</v>
      </c>
      <c r="G25" s="31">
        <v>0.47</v>
      </c>
      <c r="H25" s="49">
        <v>1276.29</v>
      </c>
      <c r="I25" s="50"/>
      <c r="J25" s="51">
        <f t="shared" si="1"/>
        <v>1276.29</v>
      </c>
    </row>
    <row r="26" spans="1:10" ht="30" customHeight="1">
      <c r="A26" s="13"/>
      <c r="B26" s="209" t="s">
        <v>30</v>
      </c>
      <c r="C26" s="166"/>
      <c r="D26" s="167"/>
      <c r="E26" s="120" t="s">
        <v>29</v>
      </c>
      <c r="F26" s="56" t="s">
        <v>67</v>
      </c>
      <c r="G26" s="31">
        <f>4.32-G27-G28</f>
        <v>4.32</v>
      </c>
      <c r="H26" s="49">
        <f t="shared" si="0"/>
        <v>34911.65</v>
      </c>
      <c r="I26" s="59"/>
      <c r="J26" s="51">
        <f t="shared" si="1"/>
        <v>34911.65</v>
      </c>
    </row>
    <row r="27" spans="1:10" ht="26.25" customHeight="1">
      <c r="A27" s="47"/>
      <c r="B27" s="154" t="s">
        <v>68</v>
      </c>
      <c r="C27" s="154"/>
      <c r="D27" s="154"/>
      <c r="E27" s="120" t="s">
        <v>29</v>
      </c>
      <c r="F27" s="56" t="s">
        <v>67</v>
      </c>
      <c r="G27" s="92">
        <v>0</v>
      </c>
      <c r="H27" s="49">
        <f t="shared" si="0"/>
        <v>0</v>
      </c>
      <c r="I27" s="59"/>
      <c r="J27" s="51">
        <f t="shared" si="1"/>
        <v>0</v>
      </c>
    </row>
    <row r="28" spans="1:10" ht="17.25" customHeight="1">
      <c r="A28" s="13"/>
      <c r="B28" s="154" t="s">
        <v>69</v>
      </c>
      <c r="C28" s="154"/>
      <c r="D28" s="154"/>
      <c r="E28" s="96" t="s">
        <v>8</v>
      </c>
      <c r="F28" s="56" t="s">
        <v>67</v>
      </c>
      <c r="G28" s="92">
        <v>0</v>
      </c>
      <c r="H28" s="49">
        <f t="shared" si="0"/>
        <v>0</v>
      </c>
      <c r="I28" s="59"/>
      <c r="J28" s="51">
        <f t="shared" si="1"/>
        <v>0</v>
      </c>
    </row>
    <row r="29" spans="1:10" ht="29.25" customHeight="1">
      <c r="A29" s="13"/>
      <c r="B29" s="144" t="s">
        <v>19</v>
      </c>
      <c r="C29" s="144"/>
      <c r="D29" s="144"/>
      <c r="E29" s="52" t="s">
        <v>29</v>
      </c>
      <c r="F29" s="56" t="s">
        <v>67</v>
      </c>
      <c r="G29" s="31">
        <v>1.12</v>
      </c>
      <c r="H29" s="49">
        <f t="shared" si="0"/>
        <v>9051.17</v>
      </c>
      <c r="I29" s="50"/>
      <c r="J29" s="51">
        <f t="shared" si="1"/>
        <v>9051.17</v>
      </c>
    </row>
    <row r="30" spans="1:10" ht="15.75">
      <c r="A30" s="13"/>
      <c r="B30" s="165"/>
      <c r="C30" s="166"/>
      <c r="D30" s="167"/>
      <c r="E30" s="96"/>
      <c r="F30" s="56"/>
      <c r="G30" s="29"/>
      <c r="H30" s="57"/>
      <c r="I30" s="44"/>
      <c r="J30" s="60"/>
    </row>
    <row r="31" spans="1:10" ht="15.75">
      <c r="A31" s="13"/>
      <c r="B31" s="210" t="s">
        <v>26</v>
      </c>
      <c r="C31" s="210"/>
      <c r="D31" s="210"/>
      <c r="E31" s="13"/>
      <c r="F31" s="56"/>
      <c r="G31" s="14">
        <f>SUM(G17:G29)</f>
        <v>10.09</v>
      </c>
      <c r="H31" s="67">
        <f>SUM(H17:H30)</f>
        <v>77070.84999999999</v>
      </c>
      <c r="I31" s="45"/>
      <c r="J31" s="67">
        <f>SUM(J17:J30)</f>
        <v>77070.84999999999</v>
      </c>
    </row>
    <row r="32" spans="1:10" ht="15.75" hidden="1">
      <c r="A32" s="13"/>
      <c r="B32" s="175" t="s">
        <v>70</v>
      </c>
      <c r="C32" s="163"/>
      <c r="D32" s="164"/>
      <c r="E32" s="96" t="s">
        <v>8</v>
      </c>
      <c r="F32" s="56"/>
      <c r="G32" s="29"/>
      <c r="H32" s="57"/>
      <c r="I32" s="44"/>
      <c r="J32" s="60"/>
    </row>
    <row r="33" spans="1:10" ht="25.5" hidden="1">
      <c r="A33" s="13"/>
      <c r="B33" s="175" t="s">
        <v>71</v>
      </c>
      <c r="C33" s="163"/>
      <c r="D33" s="164"/>
      <c r="E33" s="120" t="s">
        <v>29</v>
      </c>
      <c r="F33" s="56"/>
      <c r="G33" s="29"/>
      <c r="H33" s="57"/>
      <c r="I33" s="44"/>
      <c r="J33" s="60"/>
    </row>
    <row r="34" spans="1:10" ht="15.75">
      <c r="A34" s="13"/>
      <c r="B34" s="165"/>
      <c r="C34" s="166"/>
      <c r="D34" s="167"/>
      <c r="E34" s="96"/>
      <c r="F34" s="56"/>
      <c r="G34" s="29"/>
      <c r="H34" s="57"/>
      <c r="I34" s="44"/>
      <c r="J34" s="60"/>
    </row>
    <row r="35" spans="1:10" ht="15" customHeight="1">
      <c r="A35" s="13" t="s">
        <v>72</v>
      </c>
      <c r="B35" s="170" t="s">
        <v>73</v>
      </c>
      <c r="C35" s="171"/>
      <c r="D35" s="171"/>
      <c r="E35" s="172"/>
      <c r="F35" s="56" t="s">
        <v>67</v>
      </c>
      <c r="G35" s="14">
        <f>H35/E3/$K$7</f>
        <v>8.144257183161333</v>
      </c>
      <c r="H35" s="123">
        <v>65817</v>
      </c>
      <c r="I35" s="63"/>
      <c r="J35" s="67">
        <f>SUM(H35:I35)</f>
        <v>65817</v>
      </c>
    </row>
    <row r="36" spans="1:10" ht="14.25" customHeight="1">
      <c r="A36" s="15"/>
      <c r="B36" s="176" t="s">
        <v>48</v>
      </c>
      <c r="C36" s="176"/>
      <c r="D36" s="176"/>
      <c r="E36" s="176"/>
      <c r="F36" s="176"/>
      <c r="G36" s="14">
        <f>SUM(G31:G35)</f>
        <v>18.234257183161333</v>
      </c>
      <c r="H36" s="124">
        <f>SUM(H31:H35)</f>
        <v>142887.84999999998</v>
      </c>
      <c r="I36" s="125"/>
      <c r="J36" s="125">
        <f>SUM(J31:J35)</f>
        <v>142887.84999999998</v>
      </c>
    </row>
    <row r="37" spans="1:10" ht="15.75">
      <c r="A37" s="13" t="s">
        <v>74</v>
      </c>
      <c r="B37" s="176" t="s">
        <v>75</v>
      </c>
      <c r="C37" s="176"/>
      <c r="D37" s="176"/>
      <c r="E37" s="176"/>
      <c r="F37" s="176"/>
      <c r="G37" s="14">
        <f>H37/E3/$K$7</f>
        <v>11.586730022025884</v>
      </c>
      <c r="H37" s="65">
        <v>93637</v>
      </c>
      <c r="I37" s="65"/>
      <c r="J37" s="126">
        <f>SUM(H37:I37)</f>
        <v>93637</v>
      </c>
    </row>
    <row r="38" spans="1:10" ht="24.75" customHeight="1">
      <c r="A38" s="15"/>
      <c r="B38" s="176" t="s">
        <v>76</v>
      </c>
      <c r="C38" s="176"/>
      <c r="D38" s="176"/>
      <c r="E38" s="176"/>
      <c r="F38" s="176"/>
      <c r="G38" s="14">
        <f>SUM(G36:G37)</f>
        <v>29.820987205187215</v>
      </c>
      <c r="H38" s="124">
        <f>SUM(H36:H37)</f>
        <v>236524.84999999998</v>
      </c>
      <c r="I38" s="125"/>
      <c r="J38" s="125">
        <f>SUM(J36:J37)</f>
        <v>236524.84999999998</v>
      </c>
    </row>
    <row r="39" spans="1:10" ht="27" customHeight="1">
      <c r="A39" s="13">
        <v>3</v>
      </c>
      <c r="B39" s="145" t="s">
        <v>154</v>
      </c>
      <c r="C39" s="177"/>
      <c r="D39" s="177"/>
      <c r="E39" s="177"/>
      <c r="F39" s="177"/>
      <c r="G39" s="112"/>
      <c r="H39" s="49">
        <f>H14-H38</f>
        <v>-138992.96999999997</v>
      </c>
      <c r="I39" s="49"/>
      <c r="J39" s="45">
        <f>J14-J38</f>
        <v>-138992.96999999997</v>
      </c>
    </row>
    <row r="40" spans="2:6" ht="15.75">
      <c r="B40" s="17"/>
      <c r="F40" s="17"/>
    </row>
    <row r="41" spans="2:10" ht="15.75" customHeight="1">
      <c r="B41" s="211" t="s">
        <v>155</v>
      </c>
      <c r="C41" s="211"/>
      <c r="D41" s="211"/>
      <c r="E41" s="211"/>
      <c r="F41" s="211"/>
      <c r="G41" s="211"/>
      <c r="H41" s="211"/>
      <c r="I41" s="211"/>
      <c r="J41" s="211"/>
    </row>
    <row r="42" spans="2:4" ht="25.5" customHeight="1">
      <c r="B42" s="17"/>
      <c r="C42" s="17"/>
      <c r="D42" s="17"/>
    </row>
    <row r="43" spans="2:4" ht="15.75">
      <c r="B43" s="98" t="s">
        <v>156</v>
      </c>
      <c r="C43" s="98"/>
      <c r="D43" s="98"/>
    </row>
    <row r="44" spans="2:4" ht="15.75">
      <c r="B44" s="127" t="s">
        <v>157</v>
      </c>
      <c r="C44" s="127"/>
      <c r="D44" s="98"/>
    </row>
    <row r="45" spans="2:4" ht="15.75" customHeight="1">
      <c r="B45" s="174" t="s">
        <v>158</v>
      </c>
      <c r="C45" s="174"/>
      <c r="D45" s="174"/>
    </row>
    <row r="48" ht="15.75">
      <c r="B48" t="s">
        <v>170</v>
      </c>
    </row>
    <row r="49" ht="15.75">
      <c r="B49" t="s">
        <v>171</v>
      </c>
    </row>
  </sheetData>
  <mergeCells count="37">
    <mergeCell ref="B45:D45"/>
    <mergeCell ref="B37:F37"/>
    <mergeCell ref="B38:F38"/>
    <mergeCell ref="B39:F39"/>
    <mergeCell ref="B41:J41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B2">
      <selection activeCell="B28" sqref="B28"/>
    </sheetView>
  </sheetViews>
  <sheetFormatPr defaultColWidth="9.00390625" defaultRowHeight="15.75"/>
  <cols>
    <col min="1" max="1" width="11.875" style="0" customWidth="1"/>
    <col min="2" max="2" width="12.00390625" style="0" bestFit="1" customWidth="1"/>
    <col min="3" max="3" width="12.50390625" style="0" customWidth="1"/>
    <col min="4" max="4" width="10.50390625" style="0" customWidth="1"/>
    <col min="5" max="5" width="12.875" style="0" customWidth="1"/>
    <col min="6" max="6" width="13.375" style="0" customWidth="1"/>
    <col min="7" max="7" width="10.375" style="0" customWidth="1"/>
    <col min="8" max="8" width="13.00390625" style="0" customWidth="1"/>
    <col min="9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3" width="12.875" style="0" customWidth="1"/>
    <col min="14" max="14" width="11.50390625" style="0" customWidth="1"/>
    <col min="15" max="15" width="11.125" style="0" customWidth="1"/>
    <col min="16" max="16" width="10.875" style="0" customWidth="1"/>
    <col min="17" max="17" width="11.00390625" style="0" bestFit="1" customWidth="1"/>
    <col min="18" max="18" width="12.375" style="0" customWidth="1"/>
    <col min="19" max="19" width="11.875" style="0" customWidth="1"/>
  </cols>
  <sheetData>
    <row r="1" spans="1:19" ht="94.5" customHeight="1" thickBot="1">
      <c r="A1" s="212" t="s">
        <v>169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15.75" customHeight="1">
      <c r="A2" s="213" t="s">
        <v>161</v>
      </c>
      <c r="B2" s="215" t="s">
        <v>77</v>
      </c>
      <c r="C2" s="215" t="s">
        <v>78</v>
      </c>
      <c r="D2" s="215"/>
      <c r="E2" s="215"/>
      <c r="F2" s="215"/>
      <c r="G2" s="215"/>
      <c r="H2" s="215"/>
      <c r="I2" s="215"/>
      <c r="J2" s="217" t="s">
        <v>79</v>
      </c>
      <c r="K2" s="217"/>
      <c r="L2" s="217"/>
      <c r="M2" s="218" t="s">
        <v>80</v>
      </c>
      <c r="N2" s="215" t="s">
        <v>81</v>
      </c>
      <c r="O2" s="215"/>
      <c r="P2" s="215"/>
      <c r="Q2" s="215"/>
      <c r="R2" s="215"/>
      <c r="S2" s="221" t="s">
        <v>162</v>
      </c>
    </row>
    <row r="3" spans="1:19" ht="15.75" customHeight="1">
      <c r="A3" s="214"/>
      <c r="B3" s="216"/>
      <c r="C3" s="223" t="s">
        <v>82</v>
      </c>
      <c r="D3" s="224"/>
      <c r="E3" s="225"/>
      <c r="F3" s="223" t="s">
        <v>83</v>
      </c>
      <c r="G3" s="224"/>
      <c r="H3" s="225"/>
      <c r="I3" s="226" t="s">
        <v>84</v>
      </c>
      <c r="J3" s="227" t="s">
        <v>85</v>
      </c>
      <c r="K3" s="229" t="s">
        <v>86</v>
      </c>
      <c r="L3" s="227" t="s">
        <v>87</v>
      </c>
      <c r="M3" s="219"/>
      <c r="N3" s="226" t="s">
        <v>88</v>
      </c>
      <c r="O3" s="216" t="s">
        <v>89</v>
      </c>
      <c r="P3" s="216" t="s">
        <v>90</v>
      </c>
      <c r="Q3" s="216" t="s">
        <v>91</v>
      </c>
      <c r="R3" s="216" t="s">
        <v>92</v>
      </c>
      <c r="S3" s="222"/>
    </row>
    <row r="4" spans="1:19" ht="47.25" customHeight="1">
      <c r="A4" s="214"/>
      <c r="B4" s="216"/>
      <c r="C4" s="130" t="s">
        <v>93</v>
      </c>
      <c r="D4" s="129" t="s">
        <v>91</v>
      </c>
      <c r="E4" s="129" t="s">
        <v>92</v>
      </c>
      <c r="F4" s="130" t="s">
        <v>93</v>
      </c>
      <c r="G4" s="129" t="s">
        <v>91</v>
      </c>
      <c r="H4" s="129" t="s">
        <v>92</v>
      </c>
      <c r="I4" s="226"/>
      <c r="J4" s="228"/>
      <c r="K4" s="220"/>
      <c r="L4" s="228"/>
      <c r="M4" s="220"/>
      <c r="N4" s="216"/>
      <c r="O4" s="216"/>
      <c r="P4" s="216"/>
      <c r="Q4" s="216"/>
      <c r="R4" s="216"/>
      <c r="S4" s="222"/>
    </row>
    <row r="5" spans="1:19" ht="31.5">
      <c r="A5" s="128">
        <v>1</v>
      </c>
      <c r="B5" s="129">
        <v>2</v>
      </c>
      <c r="C5" s="130">
        <v>3</v>
      </c>
      <c r="D5" s="129">
        <v>4</v>
      </c>
      <c r="E5" s="129" t="s">
        <v>94</v>
      </c>
      <c r="F5" s="130">
        <v>6</v>
      </c>
      <c r="G5" s="129">
        <v>7</v>
      </c>
      <c r="H5" s="129" t="s">
        <v>95</v>
      </c>
      <c r="I5" s="130" t="s">
        <v>96</v>
      </c>
      <c r="J5" s="129">
        <v>10</v>
      </c>
      <c r="K5" s="129">
        <v>11</v>
      </c>
      <c r="L5" s="130">
        <v>12</v>
      </c>
      <c r="M5" s="130" t="s">
        <v>97</v>
      </c>
      <c r="N5" s="129">
        <v>14</v>
      </c>
      <c r="O5" s="130">
        <v>15</v>
      </c>
      <c r="P5" s="129">
        <v>16</v>
      </c>
      <c r="Q5" s="129">
        <v>17</v>
      </c>
      <c r="R5" s="130" t="s">
        <v>98</v>
      </c>
      <c r="S5" s="131" t="s">
        <v>99</v>
      </c>
    </row>
    <row r="6" spans="1:19" ht="15.75">
      <c r="A6" s="132">
        <v>-325163.48</v>
      </c>
      <c r="B6" s="133" t="s">
        <v>163</v>
      </c>
      <c r="C6" s="134">
        <v>85545.65</v>
      </c>
      <c r="D6" s="134">
        <v>5270.4</v>
      </c>
      <c r="E6" s="134">
        <f>C6+D6</f>
        <v>90816.04999999999</v>
      </c>
      <c r="F6" s="134">
        <v>91866.51</v>
      </c>
      <c r="G6" s="134">
        <v>5665.37</v>
      </c>
      <c r="H6" s="134">
        <f>SUM(F6:G6)</f>
        <v>97531.87999999999</v>
      </c>
      <c r="I6" s="135">
        <f>E6-H6</f>
        <v>-6715.830000000002</v>
      </c>
      <c r="J6" s="134">
        <v>0</v>
      </c>
      <c r="K6" s="134">
        <v>0</v>
      </c>
      <c r="L6" s="134">
        <v>0</v>
      </c>
      <c r="M6" s="134">
        <f>H6+J6+K6+L6</f>
        <v>97531.87999999999</v>
      </c>
      <c r="N6" s="134">
        <f>'отчет 2012 новый'!J29</f>
        <v>9051.17</v>
      </c>
      <c r="O6" s="134">
        <f>'отчет 2012 новый'!J31-'отчет 2012 новый'!J29</f>
        <v>68019.68</v>
      </c>
      <c r="P6" s="134">
        <f>'отчет 2012 новый'!J35</f>
        <v>65817</v>
      </c>
      <c r="Q6" s="135">
        <f>'отчет 2012 новый'!J37</f>
        <v>93637</v>
      </c>
      <c r="R6" s="134">
        <f>SUM(N6:Q6)</f>
        <v>236524.84999999998</v>
      </c>
      <c r="S6" s="136">
        <f>M6-R6</f>
        <v>-138992.96999999997</v>
      </c>
    </row>
    <row r="7" spans="1:19" ht="15.75">
      <c r="A7" s="132"/>
      <c r="B7" s="133"/>
      <c r="C7" s="134"/>
      <c r="D7" s="134"/>
      <c r="E7" s="134">
        <f>SUM(C7:D7)</f>
        <v>0</v>
      </c>
      <c r="F7" s="134"/>
      <c r="G7" s="134"/>
      <c r="H7" s="134">
        <f>SUM(F7:G7)</f>
        <v>0</v>
      </c>
      <c r="I7" s="135">
        <f>E7-H7</f>
        <v>0</v>
      </c>
      <c r="J7" s="134">
        <v>0</v>
      </c>
      <c r="K7" s="134">
        <v>0</v>
      </c>
      <c r="L7" s="134">
        <v>0</v>
      </c>
      <c r="M7" s="134">
        <f>H7+J7+K7+L7</f>
        <v>0</v>
      </c>
      <c r="N7" s="134"/>
      <c r="O7" s="134"/>
      <c r="P7" s="134"/>
      <c r="Q7" s="135">
        <v>0</v>
      </c>
      <c r="R7" s="134">
        <f>SUM(N7:Q7)</f>
        <v>0</v>
      </c>
      <c r="S7" s="136">
        <f>M7-R7</f>
        <v>0</v>
      </c>
    </row>
    <row r="8" spans="1:19" ht="15.75">
      <c r="A8" s="132"/>
      <c r="B8" s="133"/>
      <c r="C8" s="134"/>
      <c r="D8" s="134"/>
      <c r="E8" s="134">
        <f>SUM(C8:D8)</f>
        <v>0</v>
      </c>
      <c r="F8" s="134"/>
      <c r="G8" s="134"/>
      <c r="H8" s="134">
        <f>SUM(F8:G8)</f>
        <v>0</v>
      </c>
      <c r="I8" s="135">
        <f>E8-H8</f>
        <v>0</v>
      </c>
      <c r="J8" s="134">
        <v>0</v>
      </c>
      <c r="K8" s="134">
        <v>0</v>
      </c>
      <c r="L8" s="134">
        <v>0</v>
      </c>
      <c r="M8" s="134">
        <f>H8+J8+K8+L8</f>
        <v>0</v>
      </c>
      <c r="N8" s="134"/>
      <c r="O8" s="134"/>
      <c r="P8" s="134"/>
      <c r="Q8" s="135">
        <v>0</v>
      </c>
      <c r="R8" s="134">
        <f>SUM(N8:Q8)</f>
        <v>0</v>
      </c>
      <c r="S8" s="136">
        <f>M8-R8</f>
        <v>0</v>
      </c>
    </row>
    <row r="9" spans="1:19" ht="15.75">
      <c r="A9" s="132"/>
      <c r="B9" s="133"/>
      <c r="C9" s="134"/>
      <c r="D9" s="134"/>
      <c r="E9" s="134">
        <f>SUM(C9:D9)</f>
        <v>0</v>
      </c>
      <c r="F9" s="134"/>
      <c r="G9" s="134"/>
      <c r="H9" s="134">
        <f>SUM(F9:G9)</f>
        <v>0</v>
      </c>
      <c r="I9" s="135">
        <f>E9-H9</f>
        <v>0</v>
      </c>
      <c r="J9" s="134">
        <f>'[1]отчет 2011'!I12</f>
        <v>0</v>
      </c>
      <c r="K9" s="134">
        <f>'[1]отчет 2011'!I13</f>
        <v>0</v>
      </c>
      <c r="L9" s="134">
        <f>'[1]отчет 2011'!H13</f>
        <v>0</v>
      </c>
      <c r="M9" s="134">
        <f>H9+J9+K9+L9</f>
        <v>0</v>
      </c>
      <c r="N9" s="134"/>
      <c r="O9" s="134"/>
      <c r="P9" s="134"/>
      <c r="Q9" s="135">
        <v>0</v>
      </c>
      <c r="R9" s="134">
        <f>SUM(N9:Q9)</f>
        <v>0</v>
      </c>
      <c r="S9" s="136">
        <f>M9-R9</f>
        <v>0</v>
      </c>
    </row>
    <row r="10" spans="1:19" ht="15.75">
      <c r="A10" s="132"/>
      <c r="B10" s="133"/>
      <c r="C10" s="134"/>
      <c r="D10" s="134"/>
      <c r="E10" s="134">
        <f>SUM(C10:D10)</f>
        <v>0</v>
      </c>
      <c r="F10" s="134"/>
      <c r="G10" s="134"/>
      <c r="H10" s="134">
        <f>SUM(F10:G10)</f>
        <v>0</v>
      </c>
      <c r="I10" s="135">
        <f>E10-H10</f>
        <v>0</v>
      </c>
      <c r="J10" s="134">
        <v>0</v>
      </c>
      <c r="K10" s="134">
        <v>0</v>
      </c>
      <c r="L10" s="134">
        <v>0</v>
      </c>
      <c r="M10" s="134">
        <f>H10+J10+K10+L10</f>
        <v>0</v>
      </c>
      <c r="N10" s="134"/>
      <c r="O10" s="134"/>
      <c r="P10" s="134"/>
      <c r="Q10" s="135">
        <v>0</v>
      </c>
      <c r="R10" s="134">
        <f>SUM(N10:Q10)</f>
        <v>0</v>
      </c>
      <c r="S10" s="136">
        <f>M10-R10</f>
        <v>0</v>
      </c>
    </row>
    <row r="11" spans="1:19" ht="16.5" thickBot="1">
      <c r="A11" s="137"/>
      <c r="B11" s="138" t="s">
        <v>164</v>
      </c>
      <c r="C11" s="139">
        <f aca="true" t="shared" si="0" ref="C11:R11">SUM(C6:C10)</f>
        <v>85545.65</v>
      </c>
      <c r="D11" s="139">
        <f t="shared" si="0"/>
        <v>5270.4</v>
      </c>
      <c r="E11" s="139">
        <f t="shared" si="0"/>
        <v>90816.04999999999</v>
      </c>
      <c r="F11" s="139">
        <f t="shared" si="0"/>
        <v>91866.51</v>
      </c>
      <c r="G11" s="139">
        <f t="shared" si="0"/>
        <v>5665.37</v>
      </c>
      <c r="H11" s="139">
        <f t="shared" si="0"/>
        <v>97531.87999999999</v>
      </c>
      <c r="I11" s="139">
        <f t="shared" si="0"/>
        <v>-6715.830000000002</v>
      </c>
      <c r="J11" s="139">
        <f t="shared" si="0"/>
        <v>0</v>
      </c>
      <c r="K11" s="139">
        <f t="shared" si="0"/>
        <v>0</v>
      </c>
      <c r="L11" s="139">
        <f t="shared" si="0"/>
        <v>0</v>
      </c>
      <c r="M11" s="139">
        <f t="shared" si="0"/>
        <v>97531.87999999999</v>
      </c>
      <c r="N11" s="139">
        <f t="shared" si="0"/>
        <v>9051.17</v>
      </c>
      <c r="O11" s="139">
        <f t="shared" si="0"/>
        <v>68019.68</v>
      </c>
      <c r="P11" s="139">
        <f t="shared" si="0"/>
        <v>65817</v>
      </c>
      <c r="Q11" s="139">
        <f t="shared" si="0"/>
        <v>93637</v>
      </c>
      <c r="R11" s="139">
        <f t="shared" si="0"/>
        <v>236524.84999999998</v>
      </c>
      <c r="S11" s="140">
        <f>A6+SUM(S6:S10)</f>
        <v>-464156.44999999995</v>
      </c>
    </row>
    <row r="16" spans="2:9" ht="18.75">
      <c r="B16" s="230" t="s">
        <v>165</v>
      </c>
      <c r="C16" s="230"/>
      <c r="D16" s="230"/>
      <c r="E16" s="230"/>
      <c r="F16" s="230" t="s">
        <v>166</v>
      </c>
      <c r="G16" s="230"/>
      <c r="H16" s="230"/>
      <c r="I16" s="230"/>
    </row>
    <row r="17" spans="2:9" ht="18.75">
      <c r="B17" s="141"/>
      <c r="C17" s="141"/>
      <c r="D17" s="141"/>
      <c r="E17" s="141"/>
      <c r="F17" s="141"/>
      <c r="G17" s="141"/>
      <c r="H17" s="141"/>
      <c r="I17" s="141"/>
    </row>
    <row r="18" spans="2:9" ht="15.75">
      <c r="B18" s="142"/>
      <c r="C18" s="142"/>
      <c r="D18" s="142"/>
      <c r="E18" s="142"/>
      <c r="F18" s="142"/>
      <c r="G18" s="142"/>
      <c r="H18" s="142"/>
      <c r="I18" s="142"/>
    </row>
    <row r="19" spans="2:9" ht="18.75">
      <c r="B19" s="143" t="s">
        <v>167</v>
      </c>
      <c r="C19" s="142"/>
      <c r="D19" s="142"/>
      <c r="E19" s="142"/>
      <c r="F19" s="230" t="s">
        <v>168</v>
      </c>
      <c r="G19" s="230"/>
      <c r="H19" s="230"/>
      <c r="I19" s="142"/>
    </row>
    <row r="22" spans="2:3" ht="15.75">
      <c r="B22" s="231" t="s">
        <v>170</v>
      </c>
      <c r="C22" s="231"/>
    </row>
    <row r="23" spans="2:3" ht="15.75">
      <c r="B23" s="231" t="s">
        <v>171</v>
      </c>
      <c r="C23" s="231"/>
    </row>
  </sheetData>
  <mergeCells count="24">
    <mergeCell ref="B16:E16"/>
    <mergeCell ref="F16:I16"/>
    <mergeCell ref="F19:H19"/>
    <mergeCell ref="B23:C23"/>
    <mergeCell ref="B22:C22"/>
    <mergeCell ref="R3:R4"/>
    <mergeCell ref="N3:N4"/>
    <mergeCell ref="O3:O4"/>
    <mergeCell ref="P3:P4"/>
    <mergeCell ref="Q3:Q4"/>
    <mergeCell ref="I3:I4"/>
    <mergeCell ref="J3:J4"/>
    <mergeCell ref="K3:K4"/>
    <mergeCell ref="L3:L4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</mergeCells>
  <printOptions/>
  <pageMargins left="0" right="0" top="0.984251968503937" bottom="0.984251968503937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2013-02-28T04:46:08Z</cp:lastPrinted>
  <dcterms:created xsi:type="dcterms:W3CDTF">2009-08-26T03:25:10Z</dcterms:created>
  <dcterms:modified xsi:type="dcterms:W3CDTF">2013-05-14T04:32:51Z</dcterms:modified>
  <cp:category/>
  <cp:version/>
  <cp:contentType/>
  <cp:contentStatus/>
</cp:coreProperties>
</file>