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План 07.12.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>
    <definedName name="_xlnm.Print_Area" localSheetId="1">'План 2012'!$A$1:$H$41</definedName>
  </definedNames>
  <calcPr fullCalcOnLoad="1"/>
</workbook>
</file>

<file path=xl/sharedStrings.xml><?xml version="1.0" encoding="utf-8"?>
<sst xmlns="http://schemas.openxmlformats.org/spreadsheetml/2006/main" count="465" uniqueCount="171">
  <si>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</si>
  <si>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</si>
  <si>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</si>
  <si>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</si>
  <si>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</si>
  <si>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</si>
  <si>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</si>
  <si>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</si>
  <si>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</si>
  <si>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</si>
  <si>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</si>
  <si>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</si>
  <si>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</si>
  <si>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</si>
  <si>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</si>
  <si>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</si>
  <si>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</si>
  <si>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</si>
  <si>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</si>
  <si>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</si>
  <si>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</si>
  <si>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</si>
  <si>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</si>
  <si>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</si>
  <si>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</si>
  <si>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</si>
  <si>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</si>
  <si>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</si>
  <si>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</si>
  <si>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</si>
  <si>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</si>
  <si>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</si>
  <si>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</si>
  <si>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</si>
  <si>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</si>
  <si>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</si>
  <si>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</si>
  <si>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</si>
  <si>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</si>
  <si>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Короленко, 126а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</si>
  <si>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</si>
  <si>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</si>
  <si>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</si>
  <si>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</si>
  <si>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</si>
  <si>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</si>
  <si>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</si>
  <si>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</si>
  <si>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</si>
  <si>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</si>
  <si>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</si>
  <si>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</si>
  <si>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</si>
  <si>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</si>
  <si>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</si>
  <si>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</si>
  <si>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</si>
  <si>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</si>
  <si>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</si>
  <si>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</si>
  <si>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</si>
  <si>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</si>
  <si>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</si>
  <si>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</si>
  <si>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</si>
  <si>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</si>
  <si>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</si>
  <si>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</si>
  <si>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</si>
  <si>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</si>
  <si>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</si>
  <si>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</si>
  <si>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</si>
  <si>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</si>
  <si>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</si>
  <si>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</si>
  <si>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</si>
  <si>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</si>
  <si>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</si>
  <si>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</si>
  <si>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</si>
  <si>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</si>
  <si>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</si>
  <si>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</si>
  <si>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</si>
  <si>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</si>
  <si>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</si>
  <si>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</si>
  <si>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</si>
  <si>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</si>
  <si>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</si>
  <si>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</si>
  <si>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</si>
  <si>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</si>
  <si>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</si>
  <si>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</si>
  <si>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</si>
  <si>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</si>
  <si>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</si>
  <si>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</si>
  <si>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</si>
  <si>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</si>
  <si>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</si>
  <si>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</si>
  <si>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</si>
  <si>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</si>
  <si>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33/7 от 28.03.08 г., заключенного между ООО "СЦ СОЖ" и собственниками многоквартирного дома
по адресу:  ул. Короленко, 126 а</t>
  </si>
  <si>
    <t xml:space="preserve">        Представитель собственников - старший по дому 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</si>
  <si>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</si>
  <si>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 xml:space="preserve"> Текущий ремонт общего имущества </t>
  </si>
  <si>
    <t xml:space="preserve">Капитальный ремонт  </t>
  </si>
  <si>
    <t>Справочно: индекс увеличения тарифа по году 103%:</t>
  </si>
  <si>
    <t xml:space="preserve"> Смета доходов и расходов  на  2012 г.
согласно договора управления МКД № 33/7 от 28.03.08 г., заключенного между ООО "СЦ СОЖ" и собственниками многоквартирного дома
по адресу:  ул. Короленко, 126 а</t>
  </si>
  <si>
    <t xml:space="preserve"> Подъезд № 1 кв. № 1-15 уборка не производится по заявлению жителей с 01.06.2011г.</t>
  </si>
  <si>
    <t>- с 1 января 2012г. Тариф остается на уровне 2011г.-10,58 руб.</t>
  </si>
  <si>
    <t>- с 1 июля 2012г. к Тарифу применен индекс 106%. -11,21 руб.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</si>
  <si>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</si>
  <si>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</si>
  <si>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</si>
  <si>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Тариф с 1 июля 2012 г. - 11,21 руб., капитальный ремонт - 0,80 руб.</t>
  </si>
  <si>
    <t>Тариф 
на 
1 кв.м. июль-декабрь 2012г.
руб.</t>
  </si>
  <si>
    <t>Стоимость работ
июль-декабрь 2012г.                      руб.</t>
  </si>
  <si>
    <t>5=гр.4*Sдома*6мес.</t>
  </si>
  <si>
    <t>1.1.</t>
  </si>
  <si>
    <t>1.2.</t>
  </si>
  <si>
    <t>1.3.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</si>
  <si>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</si>
  <si>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</si>
  <si>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</si>
  <si>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</si>
  <si>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* в случае уточнения площадей возможно изменение стоимости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</si>
  <si>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</si>
  <si>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</si>
  <si>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</si>
  <si>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</si>
  <si>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</si>
  <si>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</si>
  <si>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</si>
  <si>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</si>
  <si>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</si>
  <si>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</si>
  <si>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</si>
  <si>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</si>
  <si>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</si>
  <si>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</si>
  <si>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3/7 от 20.06.12 г., заключенного между ООО "СЦ СОЖ" и собственниками многоквартирного дома
по адресу:  ул. Короленко, 126 а</t>
  </si>
  <si>
    <t xml:space="preserve"> Короленко, 126 а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</si>
  <si>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</si>
  <si>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</si>
  <si>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</si>
  <si>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</si>
  <si>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</si>
  <si>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</si>
  <si>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</si>
  <si>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01.07.12г. по 31.12.12г. о выполнении условий договора  на оказание услуг МКД 
№ 3/7 от 20.06.12 г., заключенного между ООО "СЦ СОЖ" и собственниками многоквартирного дома
по адресу:  ул. Короленко, 126 А</t>
  </si>
  <si>
    <t>Короленко, 126 А</t>
  </si>
  <si>
    <t>Сумма с 01.07.12г.-31.12.12г., руб.</t>
  </si>
  <si>
    <t>Тариф 01.07.12г-31.12.12г.</t>
  </si>
  <si>
    <t xml:space="preserve">Финансовый результат с 01.07.12 - 31.12.12г. (+ экономия,- перерасход)                                                      </t>
  </si>
  <si>
    <t>результат
 за год
(+эконом., 
-перерасх.)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</si>
  <si>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</si>
  <si>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</si>
  <si>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</si>
  <si>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</si>
  <si>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</si>
  <si>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3/7 от 20.06.12 г., заключенного между ООО "Сервис-Центр СОЖ" и собственниками многоквартирного дома
по адресу:  ул. Короленко, 126 А</t>
  </si>
  <si>
    <t>Сальдо
 на 01.07
+экономия
-перерасход</t>
  </si>
  <si>
    <t>с 01.07.12г.</t>
  </si>
  <si>
    <t>Исполнитель:</t>
  </si>
  <si>
    <t>Аверина А.А.</t>
  </si>
  <si>
    <t>1 раз/неделю- подметание, 1 раз/месяц- влажная уборка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</si>
</sst>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2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3" sqref="G1:G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8.00390625" style="0" hidden="1" customWidth="1"/>
    <col min="7" max="7" width="6.75390625" style="0" hidden="1" customWidth="1"/>
    <col min="8" max="8" width="16.625" style="0" customWidth="1"/>
    <col min="9" max="9" width="11.25390625" style="0" customWidth="1"/>
    <col min="10" max="10" width="11.50390625" style="0" customWidth="1"/>
  </cols>
  <sheetData>
    <row r="1" spans="1:8" ht="102" customHeight="1">
      <c r="A1" s="168" t="s">
        <v>106</v>
      </c>
      <c r="B1" s="168"/>
      <c r="C1" s="168"/>
      <c r="D1" s="168"/>
      <c r="E1" s="168"/>
      <c r="F1" s="168"/>
      <c r="G1" s="168"/>
      <c r="H1" s="168"/>
    </row>
    <row r="2" spans="1:8" ht="61.5" customHeight="1">
      <c r="A2" s="169" t="s">
        <v>107</v>
      </c>
      <c r="B2" s="169"/>
      <c r="C2" s="169"/>
      <c r="D2" s="169"/>
      <c r="E2" s="169"/>
      <c r="F2" s="169"/>
      <c r="G2" s="169"/>
      <c r="H2" s="169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2686.8</v>
      </c>
      <c r="F3" s="2"/>
      <c r="I3" s="36">
        <v>0</v>
      </c>
    </row>
    <row r="4" spans="2:9" ht="15.75">
      <c r="B4" s="3" t="s">
        <v>1</v>
      </c>
      <c r="C4" s="17">
        <v>5</v>
      </c>
      <c r="D4" s="2" t="s">
        <v>2</v>
      </c>
      <c r="E4" s="17">
        <v>60</v>
      </c>
      <c r="F4" s="2"/>
      <c r="I4" t="s">
        <v>44</v>
      </c>
    </row>
    <row r="5" spans="2:9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I5" s="2" t="s">
        <v>49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50</v>
      </c>
    </row>
    <row r="7" spans="1:10" ht="60" customHeight="1">
      <c r="A7" s="12" t="s">
        <v>31</v>
      </c>
      <c r="B7" s="170" t="s">
        <v>51</v>
      </c>
      <c r="C7" s="171"/>
      <c r="D7" s="172"/>
      <c r="E7" s="6" t="s">
        <v>6</v>
      </c>
      <c r="F7" s="6" t="s">
        <v>7</v>
      </c>
      <c r="G7" s="38" t="s">
        <v>20</v>
      </c>
      <c r="H7" s="173" t="s">
        <v>52</v>
      </c>
      <c r="I7" s="174"/>
      <c r="J7" s="175"/>
    </row>
    <row r="8" spans="1:10" ht="15.75" customHeight="1">
      <c r="A8" s="13">
        <v>1</v>
      </c>
      <c r="B8" s="165"/>
      <c r="C8" s="166"/>
      <c r="D8" s="166"/>
      <c r="E8" s="166"/>
      <c r="F8" s="167"/>
      <c r="G8" s="39"/>
      <c r="H8" s="40" t="s">
        <v>53</v>
      </c>
      <c r="I8" s="41" t="s">
        <v>54</v>
      </c>
      <c r="J8" s="41" t="s">
        <v>55</v>
      </c>
    </row>
    <row r="9" spans="1:10" ht="15.75" customHeight="1">
      <c r="A9" s="13"/>
      <c r="B9" s="165" t="s">
        <v>56</v>
      </c>
      <c r="C9" s="166"/>
      <c r="D9" s="166"/>
      <c r="E9" s="166"/>
      <c r="F9" s="167"/>
      <c r="G9" s="40"/>
      <c r="H9" s="40"/>
      <c r="I9" s="24"/>
      <c r="J9" s="41"/>
    </row>
    <row r="10" spans="1:10" ht="30.75" customHeight="1">
      <c r="A10" s="42"/>
      <c r="B10" s="144" t="s">
        <v>57</v>
      </c>
      <c r="C10" s="144"/>
      <c r="D10" s="144"/>
      <c r="E10" s="144"/>
      <c r="F10" s="144"/>
      <c r="G10" s="8"/>
      <c r="H10" s="18">
        <v>334176.53</v>
      </c>
      <c r="I10" s="28"/>
      <c r="J10" s="43">
        <f>H10+I10</f>
        <v>334176.53</v>
      </c>
    </row>
    <row r="11" spans="1:10" ht="15.75">
      <c r="A11" s="42"/>
      <c r="B11" s="144" t="s">
        <v>58</v>
      </c>
      <c r="C11" s="144"/>
      <c r="D11" s="144"/>
      <c r="E11" s="144"/>
      <c r="F11" s="144"/>
      <c r="G11" s="8"/>
      <c r="H11" s="9">
        <v>22044.26</v>
      </c>
      <c r="I11" s="28"/>
      <c r="J11" s="43">
        <f>H11+I11</f>
        <v>22044.26</v>
      </c>
    </row>
    <row r="12" spans="1:10" ht="15.75" customHeight="1">
      <c r="A12" s="13"/>
      <c r="B12" s="144" t="s">
        <v>59</v>
      </c>
      <c r="C12" s="144"/>
      <c r="D12" s="144"/>
      <c r="E12" s="144"/>
      <c r="F12" s="144"/>
      <c r="G12" s="8"/>
      <c r="H12" s="18"/>
      <c r="I12" s="44">
        <v>0</v>
      </c>
      <c r="J12" s="43">
        <f>H12+I12</f>
        <v>0</v>
      </c>
    </row>
    <row r="13" spans="1:10" ht="15.75" customHeight="1">
      <c r="A13" s="13"/>
      <c r="B13" s="144" t="s">
        <v>60</v>
      </c>
      <c r="C13" s="144"/>
      <c r="D13" s="144"/>
      <c r="E13" s="144"/>
      <c r="F13" s="144"/>
      <c r="G13" s="8"/>
      <c r="H13" s="18"/>
      <c r="I13" s="44">
        <v>0</v>
      </c>
      <c r="J13" s="43">
        <f>H13+I13</f>
        <v>0</v>
      </c>
    </row>
    <row r="14" spans="1:10" ht="15.75" customHeight="1">
      <c r="A14" s="13"/>
      <c r="B14" s="163" t="s">
        <v>61</v>
      </c>
      <c r="C14" s="163"/>
      <c r="D14" s="163"/>
      <c r="E14" s="163"/>
      <c r="F14" s="163"/>
      <c r="G14" s="8"/>
      <c r="H14" s="45">
        <f>SUM(H10:H12)</f>
        <v>356220.79000000004</v>
      </c>
      <c r="I14" s="46">
        <f>SUM(I10:I12)</f>
        <v>0</v>
      </c>
      <c r="J14" s="45">
        <f>SUM(J10:J13)</f>
        <v>356220.79000000004</v>
      </c>
    </row>
    <row r="15" spans="1:10" ht="15.75" customHeight="1">
      <c r="A15" s="13">
        <v>2</v>
      </c>
      <c r="B15" s="164" t="s">
        <v>33</v>
      </c>
      <c r="C15" s="164"/>
      <c r="D15" s="164"/>
      <c r="E15" s="164"/>
      <c r="F15" s="164"/>
      <c r="G15" s="8"/>
      <c r="H15" s="18"/>
      <c r="I15" s="28"/>
      <c r="J15" s="20"/>
    </row>
    <row r="16" spans="1:10" ht="18.75" customHeight="1">
      <c r="A16" s="13" t="s">
        <v>62</v>
      </c>
      <c r="B16" s="10" t="s">
        <v>34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43" t="s">
        <v>63</v>
      </c>
      <c r="C17" s="143"/>
      <c r="D17" s="143"/>
      <c r="E17" s="49" t="s">
        <v>28</v>
      </c>
      <c r="F17" s="30" t="s">
        <v>22</v>
      </c>
      <c r="G17" s="31">
        <v>1.06</v>
      </c>
      <c r="H17" s="50">
        <f>ROUND(G17*$E$3*12,2)</f>
        <v>34176.1</v>
      </c>
      <c r="I17" s="51">
        <f>$I$12*0.08</f>
        <v>0</v>
      </c>
      <c r="J17" s="52">
        <f>SUM(H17:I17)</f>
        <v>34176.1</v>
      </c>
    </row>
    <row r="18" spans="1:10" ht="15.75" customHeight="1">
      <c r="A18" s="13"/>
      <c r="B18" s="152" t="s">
        <v>16</v>
      </c>
      <c r="C18" s="152"/>
      <c r="D18" s="152"/>
      <c r="E18" s="49" t="s">
        <v>28</v>
      </c>
      <c r="F18" s="30" t="s">
        <v>17</v>
      </c>
      <c r="G18" s="31">
        <v>0.28</v>
      </c>
      <c r="H18" s="50">
        <f>ROUND(G18*$E$3*12,2)</f>
        <v>9027.65</v>
      </c>
      <c r="I18" s="51">
        <f>$I$12*0.02</f>
        <v>0</v>
      </c>
      <c r="J18" s="52">
        <f>SUM(H18:I18)</f>
        <v>9027.65</v>
      </c>
    </row>
    <row r="19" spans="1:10" ht="15.75" customHeight="1">
      <c r="A19" s="13"/>
      <c r="B19" s="142" t="s">
        <v>21</v>
      </c>
      <c r="C19" s="142"/>
      <c r="D19" s="142"/>
      <c r="E19" s="53" t="s">
        <v>64</v>
      </c>
      <c r="F19" s="32" t="s">
        <v>18</v>
      </c>
      <c r="G19" s="31">
        <v>0.39</v>
      </c>
      <c r="H19" s="50">
        <f>J19-I19</f>
        <v>11386.59</v>
      </c>
      <c r="I19" s="51">
        <f>$I$12*0.07</f>
        <v>0</v>
      </c>
      <c r="J19" s="54">
        <v>11386.59</v>
      </c>
    </row>
    <row r="20" spans="1:10" ht="33" customHeight="1">
      <c r="A20" s="48"/>
      <c r="B20" s="143" t="s">
        <v>27</v>
      </c>
      <c r="C20" s="143"/>
      <c r="D20" s="143"/>
      <c r="E20" s="55" t="s">
        <v>8</v>
      </c>
      <c r="F20" s="33" t="s">
        <v>9</v>
      </c>
      <c r="G20" s="31">
        <v>0.51</v>
      </c>
      <c r="H20" s="50">
        <f>ROUND(G20*$E$3*12,2)</f>
        <v>16443.22</v>
      </c>
      <c r="I20" s="51">
        <f>$I$12*0.04</f>
        <v>0</v>
      </c>
      <c r="J20" s="52">
        <f>SUM(H20:I20)</f>
        <v>16443.22</v>
      </c>
    </row>
    <row r="21" spans="1:10" ht="38.25">
      <c r="A21" s="13"/>
      <c r="B21" s="142" t="s">
        <v>25</v>
      </c>
      <c r="C21" s="142"/>
      <c r="D21" s="142"/>
      <c r="E21" s="53" t="s">
        <v>65</v>
      </c>
      <c r="F21" s="32" t="s">
        <v>23</v>
      </c>
      <c r="G21" s="31">
        <v>0.12</v>
      </c>
      <c r="H21" s="50">
        <f>J21-I21</f>
        <v>4639.75</v>
      </c>
      <c r="I21" s="51">
        <f>$I$12*0.01</f>
        <v>0</v>
      </c>
      <c r="J21" s="54">
        <v>4639.75</v>
      </c>
    </row>
    <row r="22" spans="1:10" ht="31.5">
      <c r="A22" s="48"/>
      <c r="B22" s="142" t="s">
        <v>10</v>
      </c>
      <c r="C22" s="142"/>
      <c r="D22" s="142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42" t="s">
        <v>24</v>
      </c>
      <c r="C23" s="147"/>
      <c r="D23" s="147"/>
      <c r="E23" s="56" t="s">
        <v>12</v>
      </c>
      <c r="F23" s="29" t="s">
        <v>13</v>
      </c>
      <c r="G23" s="31">
        <v>0.05</v>
      </c>
      <c r="H23" s="50">
        <f>J23-I23</f>
        <v>3851.92</v>
      </c>
      <c r="I23" s="51">
        <f>$I$12*0.003</f>
        <v>0</v>
      </c>
      <c r="J23" s="54">
        <v>3851.92</v>
      </c>
    </row>
    <row r="24" spans="1:10" ht="36.75" customHeight="1">
      <c r="A24" s="13"/>
      <c r="B24" s="142" t="s">
        <v>66</v>
      </c>
      <c r="C24" s="142"/>
      <c r="D24" s="142"/>
      <c r="E24" s="49" t="s">
        <v>29</v>
      </c>
      <c r="F24" s="57" t="s">
        <v>67</v>
      </c>
      <c r="G24" s="31">
        <v>2.15</v>
      </c>
      <c r="H24" s="50">
        <f aca="true" t="shared" si="0" ref="H24:H29">ROUND(G24*$E$3*12,2)</f>
        <v>69319.44</v>
      </c>
      <c r="I24" s="51">
        <f>$I$12*0.19</f>
        <v>0</v>
      </c>
      <c r="J24" s="52">
        <f aca="true" t="shared" si="1" ref="J24:J29">SUM(H24:I24)</f>
        <v>69319.44</v>
      </c>
    </row>
    <row r="25" spans="1:10" ht="25.5">
      <c r="A25" s="13"/>
      <c r="B25" s="152" t="s">
        <v>14</v>
      </c>
      <c r="C25" s="152"/>
      <c r="D25" s="152"/>
      <c r="E25" s="49" t="s">
        <v>29</v>
      </c>
      <c r="F25" s="57" t="s">
        <v>67</v>
      </c>
      <c r="G25" s="31">
        <v>0.44</v>
      </c>
      <c r="H25" s="58">
        <f>ROUND((G25*(E3*5+E3/4*3*7)),2)</f>
        <v>12117.47</v>
      </c>
      <c r="I25" s="51">
        <v>0</v>
      </c>
      <c r="J25" s="52">
        <f t="shared" si="1"/>
        <v>12117.47</v>
      </c>
    </row>
    <row r="26" spans="1:10" ht="25.5">
      <c r="A26" s="13"/>
      <c r="B26" s="155" t="s">
        <v>30</v>
      </c>
      <c r="C26" s="145"/>
      <c r="D26" s="146"/>
      <c r="E26" s="49" t="s">
        <v>29</v>
      </c>
      <c r="F26" s="57" t="s">
        <v>67</v>
      </c>
      <c r="G26" s="59">
        <f>3.46-G27-G28</f>
        <v>3.46</v>
      </c>
      <c r="H26" s="58">
        <f t="shared" si="0"/>
        <v>111555.94</v>
      </c>
      <c r="I26" s="60">
        <f>$I$12*0.18</f>
        <v>0</v>
      </c>
      <c r="J26" s="52">
        <f t="shared" si="1"/>
        <v>111555.94</v>
      </c>
    </row>
    <row r="27" spans="1:10" ht="31.5" customHeight="1">
      <c r="A27" s="48"/>
      <c r="B27" s="142" t="s">
        <v>68</v>
      </c>
      <c r="C27" s="142"/>
      <c r="D27" s="142"/>
      <c r="E27" s="49" t="s">
        <v>29</v>
      </c>
      <c r="F27" s="57" t="s">
        <v>67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42" t="s">
        <v>69</v>
      </c>
      <c r="C28" s="142"/>
      <c r="D28" s="142"/>
      <c r="E28" s="53" t="s">
        <v>8</v>
      </c>
      <c r="F28" s="57" t="s">
        <v>67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7" t="s">
        <v>19</v>
      </c>
      <c r="C29" s="147"/>
      <c r="D29" s="147"/>
      <c r="E29" s="53" t="s">
        <v>29</v>
      </c>
      <c r="F29" s="57" t="s">
        <v>67</v>
      </c>
      <c r="G29" s="29">
        <v>1.06</v>
      </c>
      <c r="H29" s="50">
        <f t="shared" si="0"/>
        <v>34176.1</v>
      </c>
      <c r="I29" s="51">
        <f>$I$12*0.1</f>
        <v>0</v>
      </c>
      <c r="J29" s="52">
        <f t="shared" si="1"/>
        <v>34176.1</v>
      </c>
    </row>
    <row r="30" spans="1:10" ht="15.75" customHeight="1">
      <c r="A30" s="13"/>
      <c r="B30" s="148"/>
      <c r="C30" s="149"/>
      <c r="D30" s="150"/>
      <c r="E30" s="53"/>
      <c r="F30" s="57"/>
      <c r="G30" s="29"/>
      <c r="H30" s="58"/>
      <c r="I30" s="44"/>
      <c r="J30" s="61"/>
    </row>
    <row r="31" spans="1:10" ht="15.75">
      <c r="A31" s="13"/>
      <c r="B31" s="148"/>
      <c r="C31" s="149"/>
      <c r="D31" s="150"/>
      <c r="E31" s="53"/>
      <c r="F31" s="57"/>
      <c r="G31" s="29"/>
      <c r="H31" s="58"/>
      <c r="I31" s="44"/>
      <c r="J31" s="61"/>
    </row>
    <row r="32" spans="1:10" ht="15.75">
      <c r="A32" s="13"/>
      <c r="B32" s="151" t="s">
        <v>26</v>
      </c>
      <c r="C32" s="151"/>
      <c r="D32" s="151"/>
      <c r="E32" s="7"/>
      <c r="F32" s="57"/>
      <c r="G32" s="11">
        <f>SUM(G17:G29)</f>
        <v>9.520000000000001</v>
      </c>
      <c r="H32" s="62">
        <f>SUM(H17:H31)</f>
        <v>306694.17999999993</v>
      </c>
      <c r="I32" s="63">
        <f>SUM(I17:I31)</f>
        <v>0</v>
      </c>
      <c r="J32" s="62">
        <f>SUM(J17:J31)</f>
        <v>306694.17999999993</v>
      </c>
    </row>
    <row r="33" spans="1:10" ht="15.75">
      <c r="A33" s="13"/>
      <c r="B33" s="162" t="s">
        <v>70</v>
      </c>
      <c r="C33" s="145"/>
      <c r="D33" s="146"/>
      <c r="E33" s="53" t="s">
        <v>8</v>
      </c>
      <c r="F33" s="57"/>
      <c r="G33" s="29"/>
      <c r="H33" s="58"/>
      <c r="I33" s="44"/>
      <c r="J33" s="61"/>
    </row>
    <row r="34" spans="1:10" ht="25.5">
      <c r="A34" s="13"/>
      <c r="B34" s="162" t="s">
        <v>71</v>
      </c>
      <c r="C34" s="145"/>
      <c r="D34" s="146"/>
      <c r="E34" s="49" t="s">
        <v>29</v>
      </c>
      <c r="F34" s="57"/>
      <c r="G34" s="29"/>
      <c r="H34" s="58"/>
      <c r="I34" s="44"/>
      <c r="J34" s="61"/>
    </row>
    <row r="35" spans="1:10" ht="15.75">
      <c r="A35" s="13"/>
      <c r="B35" s="79"/>
      <c r="C35" s="80"/>
      <c r="D35" s="80"/>
      <c r="E35" s="81"/>
      <c r="F35" s="57"/>
      <c r="G35" s="11"/>
      <c r="H35" s="62"/>
      <c r="I35" s="63"/>
      <c r="J35" s="62"/>
    </row>
    <row r="36" spans="1:10" ht="15.75" customHeight="1">
      <c r="A36" s="13" t="s">
        <v>72</v>
      </c>
      <c r="B36" s="159" t="s">
        <v>73</v>
      </c>
      <c r="C36" s="160"/>
      <c r="D36" s="160"/>
      <c r="E36" s="161"/>
      <c r="F36" s="57" t="s">
        <v>67</v>
      </c>
      <c r="G36" s="14">
        <f>H36/E3/12</f>
        <v>3.726738127140092</v>
      </c>
      <c r="H36" s="64">
        <v>120156</v>
      </c>
      <c r="I36" s="65">
        <v>0</v>
      </c>
      <c r="J36" s="45">
        <f>SUM(H36:I36)</f>
        <v>120156</v>
      </c>
    </row>
    <row r="37" spans="1:10" ht="15.75" customHeight="1">
      <c r="A37" s="15"/>
      <c r="B37" s="154" t="s">
        <v>35</v>
      </c>
      <c r="C37" s="154"/>
      <c r="D37" s="154"/>
      <c r="E37" s="154"/>
      <c r="F37" s="154"/>
      <c r="G37" s="11">
        <f>SUM(G32:G36)</f>
        <v>13.246738127140093</v>
      </c>
      <c r="H37" s="66">
        <f>SUM(H32:H36)</f>
        <v>426850.17999999993</v>
      </c>
      <c r="I37" s="67">
        <f>SUM(I32:I36)</f>
        <v>0</v>
      </c>
      <c r="J37" s="66">
        <f>SUM(J32:J36)</f>
        <v>426850.17999999993</v>
      </c>
    </row>
    <row r="38" spans="1:10" ht="15.75" customHeight="1">
      <c r="A38" s="13" t="s">
        <v>74</v>
      </c>
      <c r="B38" s="153" t="s">
        <v>75</v>
      </c>
      <c r="C38" s="153"/>
      <c r="D38" s="153"/>
      <c r="E38" s="153"/>
      <c r="F38" s="153"/>
      <c r="G38" s="14"/>
      <c r="H38" s="68">
        <v>0</v>
      </c>
      <c r="I38" s="68">
        <v>0</v>
      </c>
      <c r="J38" s="69">
        <f>SUM(H38:I38)</f>
        <v>0</v>
      </c>
    </row>
    <row r="39" spans="1:10" ht="19.5" customHeight="1">
      <c r="A39" s="15"/>
      <c r="B39" s="154" t="s">
        <v>76</v>
      </c>
      <c r="C39" s="154"/>
      <c r="D39" s="154"/>
      <c r="E39" s="154"/>
      <c r="F39" s="154"/>
      <c r="G39" s="11">
        <f>SUM(G37:G38)</f>
        <v>13.246738127140093</v>
      </c>
      <c r="H39" s="66">
        <f>SUM(H37:H38)</f>
        <v>426850.17999999993</v>
      </c>
      <c r="I39" s="67">
        <f>SUM(I37:I38)</f>
        <v>0</v>
      </c>
      <c r="J39" s="66">
        <f>SUM(J37:J38)</f>
        <v>426850.17999999993</v>
      </c>
    </row>
    <row r="40" spans="1:10" ht="15.75">
      <c r="A40" s="13">
        <v>3</v>
      </c>
      <c r="B40" s="155" t="s">
        <v>108</v>
      </c>
      <c r="C40" s="156"/>
      <c r="D40" s="156"/>
      <c r="E40" s="156"/>
      <c r="F40" s="156"/>
      <c r="G40" s="157"/>
      <c r="H40" s="50">
        <f>H14-H39</f>
        <v>-70629.3899999999</v>
      </c>
      <c r="I40" s="50">
        <f>I14-I39</f>
        <v>0</v>
      </c>
      <c r="J40" s="70">
        <f>J14-J39</f>
        <v>-70629.3899999999</v>
      </c>
    </row>
    <row r="41" spans="2:6" ht="15.75">
      <c r="B41" s="19"/>
      <c r="F41" s="19"/>
    </row>
    <row r="42" spans="2:9" ht="15.75">
      <c r="B42" s="19" t="s">
        <v>32</v>
      </c>
      <c r="F42" s="19"/>
      <c r="H42" s="71"/>
      <c r="I42" s="71" t="s">
        <v>37</v>
      </c>
    </row>
    <row r="43" spans="2:10" ht="15.75">
      <c r="B43" s="19" t="s">
        <v>41</v>
      </c>
      <c r="C43" s="19"/>
      <c r="D43" s="19"/>
      <c r="E43" s="19"/>
      <c r="F43" s="19"/>
      <c r="H43" s="19"/>
      <c r="I43" s="19"/>
      <c r="J43" s="19"/>
    </row>
    <row r="44" ht="15.75">
      <c r="B44" t="s">
        <v>38</v>
      </c>
    </row>
    <row r="45" spans="2:4" ht="15.75">
      <c r="B45" s="158"/>
      <c r="C45" s="158"/>
      <c r="D45" s="158"/>
    </row>
  </sheetData>
  <mergeCells count="36">
    <mergeCell ref="A1:H1"/>
    <mergeCell ref="A2:H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6:E36"/>
    <mergeCell ref="B37:F37"/>
    <mergeCell ref="B33:D33"/>
    <mergeCell ref="B34:D34"/>
    <mergeCell ref="B38:F38"/>
    <mergeCell ref="B39:F39"/>
    <mergeCell ref="B40:G40"/>
    <mergeCell ref="B45:D45"/>
  </mergeCell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9.25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68" t="s">
        <v>112</v>
      </c>
      <c r="B1" s="168"/>
      <c r="C1" s="168"/>
      <c r="D1" s="168"/>
      <c r="E1" s="168"/>
      <c r="F1" s="168"/>
      <c r="G1" s="168"/>
      <c r="H1" s="168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2686.8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76" t="s">
        <v>51</v>
      </c>
      <c r="C6" s="177"/>
      <c r="D6" s="178"/>
      <c r="E6" s="22" t="s">
        <v>6</v>
      </c>
      <c r="F6" s="22" t="s">
        <v>7</v>
      </c>
      <c r="G6" s="72" t="s">
        <v>100</v>
      </c>
      <c r="H6" s="73" t="s">
        <v>45</v>
      </c>
    </row>
    <row r="7" spans="1:8" ht="15.75" customHeight="1">
      <c r="A7" s="27">
        <v>1</v>
      </c>
      <c r="B7" s="179" t="s">
        <v>46</v>
      </c>
      <c r="C7" s="179"/>
      <c r="D7" s="179"/>
      <c r="E7" s="179"/>
      <c r="F7" s="179"/>
      <c r="G7" s="28"/>
      <c r="H7" s="74"/>
    </row>
    <row r="8" spans="1:8" ht="27" customHeight="1">
      <c r="A8" s="27"/>
      <c r="B8" s="163" t="s">
        <v>101</v>
      </c>
      <c r="C8" s="163"/>
      <c r="D8" s="163"/>
      <c r="E8" s="163"/>
      <c r="F8" s="163"/>
      <c r="G8" s="14">
        <f>G34</f>
        <v>10.89</v>
      </c>
      <c r="H8" s="74">
        <f>ROUND($E$2*G8*12,0)</f>
        <v>351111</v>
      </c>
    </row>
    <row r="9" spans="1:8" ht="15.75" customHeight="1">
      <c r="A9" s="27"/>
      <c r="B9" s="180" t="s">
        <v>47</v>
      </c>
      <c r="C9" s="180"/>
      <c r="D9" s="180"/>
      <c r="E9" s="180"/>
      <c r="F9" s="180"/>
      <c r="G9" s="13">
        <v>0.78</v>
      </c>
      <c r="H9" s="74">
        <f>ROUND($E$2*G9*12,0)</f>
        <v>25148</v>
      </c>
    </row>
    <row r="10" spans="1:8" ht="18.75" customHeight="1">
      <c r="A10" s="27">
        <v>2</v>
      </c>
      <c r="B10" s="164" t="s">
        <v>33</v>
      </c>
      <c r="C10" s="164"/>
      <c r="D10" s="164"/>
      <c r="E10" s="164"/>
      <c r="F10" s="164"/>
      <c r="G10" s="29"/>
      <c r="H10" s="74"/>
    </row>
    <row r="11" spans="1:8" ht="15.75" customHeight="1">
      <c r="A11" s="27" t="s">
        <v>62</v>
      </c>
      <c r="B11" s="10" t="s">
        <v>34</v>
      </c>
      <c r="C11" s="10"/>
      <c r="D11" s="10"/>
      <c r="E11" s="10"/>
      <c r="F11" s="5"/>
      <c r="G11" s="40"/>
      <c r="H11" s="74"/>
    </row>
    <row r="12" spans="1:8" ht="31.5">
      <c r="A12" s="75"/>
      <c r="B12" s="181" t="s">
        <v>102</v>
      </c>
      <c r="C12" s="181"/>
      <c r="D12" s="181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35143</v>
      </c>
    </row>
    <row r="13" spans="1:8" ht="19.5" customHeight="1">
      <c r="A13" s="75"/>
      <c r="B13" s="181" t="s">
        <v>16</v>
      </c>
      <c r="C13" s="181"/>
      <c r="D13" s="181"/>
      <c r="E13" s="49" t="s">
        <v>28</v>
      </c>
      <c r="F13" s="30" t="s">
        <v>17</v>
      </c>
      <c r="G13" s="31">
        <v>0.29</v>
      </c>
      <c r="H13" s="25">
        <f t="shared" si="0"/>
        <v>9350</v>
      </c>
    </row>
    <row r="14" spans="1:8" ht="19.5" customHeight="1">
      <c r="A14" s="75"/>
      <c r="B14" s="182" t="s">
        <v>21</v>
      </c>
      <c r="C14" s="182"/>
      <c r="D14" s="182"/>
      <c r="E14" s="53" t="s">
        <v>64</v>
      </c>
      <c r="F14" s="32" t="s">
        <v>18</v>
      </c>
      <c r="G14" s="31">
        <v>0.4</v>
      </c>
      <c r="H14" s="25">
        <f t="shared" si="0"/>
        <v>12897</v>
      </c>
    </row>
    <row r="15" spans="1:8" ht="21" customHeight="1">
      <c r="A15" s="75"/>
      <c r="B15" s="183" t="s">
        <v>27</v>
      </c>
      <c r="C15" s="183"/>
      <c r="D15" s="183"/>
      <c r="E15" s="55" t="s">
        <v>8</v>
      </c>
      <c r="F15" s="33" t="s">
        <v>9</v>
      </c>
      <c r="G15" s="31">
        <v>0.53</v>
      </c>
      <c r="H15" s="25">
        <f t="shared" si="0"/>
        <v>17088</v>
      </c>
    </row>
    <row r="16" spans="1:8" ht="51">
      <c r="A16" s="75"/>
      <c r="B16" s="182" t="s">
        <v>25</v>
      </c>
      <c r="C16" s="182"/>
      <c r="D16" s="182"/>
      <c r="E16" s="53" t="s">
        <v>65</v>
      </c>
      <c r="F16" s="32" t="s">
        <v>23</v>
      </c>
      <c r="G16" s="31">
        <v>0.12</v>
      </c>
      <c r="H16" s="25">
        <f t="shared" si="0"/>
        <v>3869</v>
      </c>
    </row>
    <row r="17" spans="1:8" ht="31.5" customHeight="1">
      <c r="A17" s="75"/>
      <c r="B17" s="182" t="s">
        <v>10</v>
      </c>
      <c r="C17" s="182"/>
      <c r="D17" s="182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 customHeight="1">
      <c r="A18" s="75"/>
      <c r="B18" s="182" t="s">
        <v>24</v>
      </c>
      <c r="C18" s="184"/>
      <c r="D18" s="184"/>
      <c r="E18" s="56" t="s">
        <v>12</v>
      </c>
      <c r="F18" s="29" t="s">
        <v>103</v>
      </c>
      <c r="G18" s="31">
        <v>0.05</v>
      </c>
      <c r="H18" s="25">
        <f t="shared" si="0"/>
        <v>1612</v>
      </c>
    </row>
    <row r="19" spans="1:8" ht="25.5">
      <c r="A19" s="75"/>
      <c r="B19" s="182" t="s">
        <v>66</v>
      </c>
      <c r="C19" s="182"/>
      <c r="D19" s="182"/>
      <c r="E19" s="49" t="s">
        <v>29</v>
      </c>
      <c r="F19" s="32" t="s">
        <v>36</v>
      </c>
      <c r="G19" s="31">
        <v>2.21</v>
      </c>
      <c r="H19" s="25">
        <f t="shared" si="0"/>
        <v>71254</v>
      </c>
    </row>
    <row r="20" spans="1:8" ht="33" customHeight="1">
      <c r="A20" s="75"/>
      <c r="B20" s="181" t="s">
        <v>14</v>
      </c>
      <c r="C20" s="181"/>
      <c r="D20" s="181"/>
      <c r="E20" s="49" t="s">
        <v>48</v>
      </c>
      <c r="F20" s="32" t="s">
        <v>36</v>
      </c>
      <c r="G20" s="31">
        <v>0.45</v>
      </c>
      <c r="H20" s="25">
        <f>ROUND($E$2/4*3*G20*12,0)</f>
        <v>10882</v>
      </c>
    </row>
    <row r="21" spans="1:8" ht="29.25" customHeight="1">
      <c r="A21" s="75"/>
      <c r="B21" s="182" t="s">
        <v>30</v>
      </c>
      <c r="C21" s="184"/>
      <c r="D21" s="184"/>
      <c r="E21" s="49" t="s">
        <v>29</v>
      </c>
      <c r="F21" s="32" t="s">
        <v>36</v>
      </c>
      <c r="G21" s="31">
        <f>3.57-G22-G23</f>
        <v>3.57</v>
      </c>
      <c r="H21" s="25">
        <f t="shared" si="0"/>
        <v>115103</v>
      </c>
    </row>
    <row r="22" spans="1:8" ht="17.25" customHeight="1">
      <c r="A22" s="75"/>
      <c r="B22" s="182" t="s">
        <v>104</v>
      </c>
      <c r="C22" s="182"/>
      <c r="D22" s="182"/>
      <c r="E22" s="53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5"/>
      <c r="B23" s="182" t="s">
        <v>69</v>
      </c>
      <c r="C23" s="182"/>
      <c r="D23" s="182"/>
      <c r="E23" s="53" t="s">
        <v>8</v>
      </c>
      <c r="F23" s="32" t="s">
        <v>36</v>
      </c>
      <c r="G23" s="31">
        <v>0</v>
      </c>
      <c r="H23" s="25">
        <f t="shared" si="0"/>
        <v>0</v>
      </c>
    </row>
    <row r="24" spans="1:8" ht="30" customHeight="1">
      <c r="A24" s="75"/>
      <c r="B24" s="184" t="s">
        <v>19</v>
      </c>
      <c r="C24" s="184"/>
      <c r="D24" s="184"/>
      <c r="E24" s="49" t="s">
        <v>29</v>
      </c>
      <c r="F24" s="32" t="s">
        <v>36</v>
      </c>
      <c r="G24" s="31">
        <v>1.09</v>
      </c>
      <c r="H24" s="25">
        <f t="shared" si="0"/>
        <v>35143</v>
      </c>
    </row>
    <row r="25" spans="1:8" ht="15.75">
      <c r="A25" s="75"/>
      <c r="B25" s="162" t="s">
        <v>70</v>
      </c>
      <c r="C25" s="145"/>
      <c r="D25" s="146"/>
      <c r="E25" s="53" t="s">
        <v>8</v>
      </c>
      <c r="F25" s="32"/>
      <c r="G25" s="31"/>
      <c r="H25" s="25"/>
    </row>
    <row r="26" spans="1:8" ht="15.75">
      <c r="A26" s="75"/>
      <c r="B26" s="162" t="s">
        <v>71</v>
      </c>
      <c r="C26" s="145"/>
      <c r="D26" s="146"/>
      <c r="E26" s="49"/>
      <c r="F26" s="32"/>
      <c r="G26" s="31"/>
      <c r="H26" s="25"/>
    </row>
    <row r="27" spans="1:8" ht="15.75" hidden="1">
      <c r="A27" s="75"/>
      <c r="B27" s="148"/>
      <c r="C27" s="149"/>
      <c r="D27" s="150"/>
      <c r="E27" s="49"/>
      <c r="F27" s="32"/>
      <c r="G27" s="31"/>
      <c r="H27" s="25"/>
    </row>
    <row r="28" spans="1:8" ht="15.75" hidden="1">
      <c r="A28" s="75"/>
      <c r="B28" s="148"/>
      <c r="C28" s="149"/>
      <c r="D28" s="150"/>
      <c r="E28" s="49"/>
      <c r="F28" s="32"/>
      <c r="G28" s="31"/>
      <c r="H28" s="25"/>
    </row>
    <row r="29" spans="1:8" ht="15.75">
      <c r="A29" s="75"/>
      <c r="B29" s="185" t="s">
        <v>26</v>
      </c>
      <c r="C29" s="186"/>
      <c r="D29" s="187"/>
      <c r="E29" s="7"/>
      <c r="F29" s="32"/>
      <c r="G29" s="11">
        <f>SUM(G12:G28)</f>
        <v>9.8</v>
      </c>
      <c r="H29" s="25">
        <f t="shared" si="0"/>
        <v>315968</v>
      </c>
    </row>
    <row r="30" spans="1:8" ht="15.75" hidden="1">
      <c r="A30" s="75"/>
      <c r="B30" s="79"/>
      <c r="C30" s="80"/>
      <c r="D30" s="80"/>
      <c r="E30" s="7"/>
      <c r="F30" s="32"/>
      <c r="G30" s="11"/>
      <c r="H30" s="25"/>
    </row>
    <row r="31" spans="1:8" ht="15.75" hidden="1">
      <c r="A31" s="75"/>
      <c r="B31" s="79"/>
      <c r="C31" s="80"/>
      <c r="D31" s="80"/>
      <c r="E31" s="7"/>
      <c r="F31" s="32"/>
      <c r="G31" s="11"/>
      <c r="H31" s="25"/>
    </row>
    <row r="32" spans="1:8" ht="15.75" hidden="1">
      <c r="A32" s="75"/>
      <c r="B32" s="79"/>
      <c r="C32" s="80"/>
      <c r="D32" s="80"/>
      <c r="E32" s="7"/>
      <c r="F32" s="32"/>
      <c r="G32" s="11"/>
      <c r="H32" s="25"/>
    </row>
    <row r="33" spans="1:8" ht="19.5" customHeight="1">
      <c r="A33" s="27" t="s">
        <v>72</v>
      </c>
      <c r="B33" s="165" t="s">
        <v>109</v>
      </c>
      <c r="C33" s="166"/>
      <c r="D33" s="166"/>
      <c r="E33" s="85" t="s">
        <v>116</v>
      </c>
      <c r="F33" s="32" t="s">
        <v>36</v>
      </c>
      <c r="G33" s="14">
        <v>1.09</v>
      </c>
      <c r="H33" s="25">
        <f t="shared" si="0"/>
        <v>35143</v>
      </c>
    </row>
    <row r="34" spans="1:8" ht="15.75">
      <c r="A34" s="27"/>
      <c r="B34" s="188" t="s">
        <v>105</v>
      </c>
      <c r="C34" s="188"/>
      <c r="D34" s="188"/>
      <c r="E34" s="188"/>
      <c r="F34" s="188"/>
      <c r="G34" s="11">
        <f>SUM(G29:G33)</f>
        <v>10.89</v>
      </c>
      <c r="H34" s="76">
        <f t="shared" si="0"/>
        <v>351111</v>
      </c>
    </row>
    <row r="35" spans="1:8" ht="16.5" thickBot="1">
      <c r="A35" s="77">
        <v>3</v>
      </c>
      <c r="B35" s="189" t="s">
        <v>110</v>
      </c>
      <c r="C35" s="190"/>
      <c r="D35" s="191"/>
      <c r="E35" s="86" t="s">
        <v>116</v>
      </c>
      <c r="F35" s="35" t="s">
        <v>36</v>
      </c>
      <c r="G35" s="34">
        <v>0.78</v>
      </c>
      <c r="H35" s="78">
        <f>ROUND($E$2*G35*12,0)</f>
        <v>25148</v>
      </c>
    </row>
    <row r="36" spans="1:6" ht="27" customHeight="1">
      <c r="A36" s="82"/>
      <c r="B36" s="193" t="s">
        <v>111</v>
      </c>
      <c r="C36" s="193"/>
      <c r="D36" s="193"/>
      <c r="E36" s="193"/>
      <c r="F36" s="83"/>
    </row>
    <row r="37" spans="1:6" ht="15.75" customHeight="1">
      <c r="A37" s="82"/>
      <c r="B37" s="194" t="s">
        <v>114</v>
      </c>
      <c r="C37" s="194"/>
      <c r="D37" s="194"/>
      <c r="E37" s="194"/>
      <c r="F37" s="83"/>
    </row>
    <row r="38" spans="1:6" ht="15.75" customHeight="1">
      <c r="A38" s="82"/>
      <c r="B38" s="194" t="s">
        <v>115</v>
      </c>
      <c r="C38" s="194"/>
      <c r="D38" s="194"/>
      <c r="E38" s="194"/>
      <c r="F38" s="83"/>
    </row>
    <row r="39" ht="15.75">
      <c r="A39" t="s">
        <v>113</v>
      </c>
    </row>
    <row r="41" spans="2:9" ht="15.75">
      <c r="B41" s="19" t="s">
        <v>32</v>
      </c>
      <c r="E41" s="19" t="s">
        <v>37</v>
      </c>
      <c r="F41" s="19"/>
      <c r="H41" s="192"/>
      <c r="I41" s="192"/>
    </row>
  </sheetData>
  <mergeCells count="31">
    <mergeCell ref="B34:F34"/>
    <mergeCell ref="B35:D35"/>
    <mergeCell ref="H41:I41"/>
    <mergeCell ref="B36:E36"/>
    <mergeCell ref="B37:E37"/>
    <mergeCell ref="B38:E38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4">
      <selection activeCell="G19" sqref="G19:G3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9.25390625" style="0" hidden="1" customWidth="1"/>
    <col min="7" max="7" width="14.75390625" style="0" customWidth="1"/>
    <col min="8" max="8" width="16.75390625" style="0" customWidth="1"/>
  </cols>
  <sheetData>
    <row r="1" spans="4:8" ht="87" customHeight="1">
      <c r="D1" s="196" t="s">
        <v>117</v>
      </c>
      <c r="E1" s="196"/>
      <c r="F1" s="196"/>
      <c r="G1" s="196"/>
      <c r="H1" s="196"/>
    </row>
    <row r="2" spans="4:8" ht="15.75">
      <c r="D2" s="99"/>
      <c r="E2" s="99"/>
      <c r="F2" s="99"/>
      <c r="G2" s="99"/>
      <c r="H2" s="99"/>
    </row>
    <row r="4" spans="1:8" ht="19.5">
      <c r="A4" s="168" t="s">
        <v>118</v>
      </c>
      <c r="B4" s="168"/>
      <c r="C4" s="168"/>
      <c r="D4" s="168"/>
      <c r="E4" s="168"/>
      <c r="F4" s="168"/>
      <c r="G4" s="168"/>
      <c r="H4" s="168"/>
    </row>
    <row r="5" spans="1:7" ht="19.5">
      <c r="A5" s="84"/>
      <c r="B5" s="84"/>
      <c r="C5" s="84"/>
      <c r="D5" s="84"/>
      <c r="E5" s="84"/>
      <c r="F5" s="84"/>
      <c r="G5" s="84"/>
    </row>
    <row r="6" spans="1:7" ht="19.5">
      <c r="A6" s="84"/>
      <c r="B6" s="197" t="s">
        <v>119</v>
      </c>
      <c r="C6" s="197"/>
      <c r="D6" s="197"/>
      <c r="E6" s="197"/>
      <c r="F6" s="84"/>
      <c r="G6" s="84"/>
    </row>
    <row r="7" spans="1:7" ht="19.5">
      <c r="A7" s="84"/>
      <c r="B7" s="100"/>
      <c r="C7" s="100"/>
      <c r="D7" s="100"/>
      <c r="E7" s="100"/>
      <c r="F7" s="84"/>
      <c r="G7" s="84"/>
    </row>
    <row r="8" spans="1:6" ht="18.75">
      <c r="A8" t="s">
        <v>40</v>
      </c>
      <c r="B8" s="1" t="s">
        <v>39</v>
      </c>
      <c r="C8" s="2"/>
      <c r="D8" s="2" t="s">
        <v>0</v>
      </c>
      <c r="E8" s="16">
        <v>2687.6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0" customHeight="1">
      <c r="A12" s="26" t="s">
        <v>31</v>
      </c>
      <c r="B12" s="176" t="s">
        <v>51</v>
      </c>
      <c r="C12" s="177"/>
      <c r="D12" s="178"/>
      <c r="E12" s="22" t="s">
        <v>6</v>
      </c>
      <c r="F12" s="22" t="s">
        <v>7</v>
      </c>
      <c r="G12" s="87" t="s">
        <v>120</v>
      </c>
      <c r="H12" s="88" t="s">
        <v>121</v>
      </c>
    </row>
    <row r="13" spans="1:8" ht="28.5" customHeight="1">
      <c r="A13" s="89">
        <v>1</v>
      </c>
      <c r="B13" s="170">
        <v>2</v>
      </c>
      <c r="C13" s="171"/>
      <c r="D13" s="172"/>
      <c r="E13" s="90">
        <v>3</v>
      </c>
      <c r="F13" s="90"/>
      <c r="G13" s="91">
        <v>4</v>
      </c>
      <c r="H13" s="92" t="s">
        <v>122</v>
      </c>
    </row>
    <row r="14" spans="1:8" ht="15.75" customHeight="1" hidden="1">
      <c r="A14" s="27">
        <v>1</v>
      </c>
      <c r="B14" s="179" t="s">
        <v>46</v>
      </c>
      <c r="C14" s="179"/>
      <c r="D14" s="179"/>
      <c r="E14" s="179"/>
      <c r="F14" s="179"/>
      <c r="G14" s="28"/>
      <c r="H14" s="74"/>
    </row>
    <row r="15" spans="1:8" ht="27" customHeight="1" hidden="1">
      <c r="A15" s="27"/>
      <c r="B15" s="163" t="s">
        <v>101</v>
      </c>
      <c r="C15" s="163"/>
      <c r="D15" s="163"/>
      <c r="E15" s="163"/>
      <c r="F15" s="163"/>
      <c r="G15" s="14">
        <f>G41</f>
        <v>11.21</v>
      </c>
      <c r="H15" s="74">
        <f>ROUND($E$8*G15*12,0)</f>
        <v>361536</v>
      </c>
    </row>
    <row r="16" spans="1:8" ht="15.75" customHeight="1" hidden="1">
      <c r="A16" s="27"/>
      <c r="B16" s="180" t="s">
        <v>47</v>
      </c>
      <c r="C16" s="180"/>
      <c r="D16" s="180"/>
      <c r="E16" s="180"/>
      <c r="F16" s="180"/>
      <c r="G16" s="13">
        <v>0.78</v>
      </c>
      <c r="H16" s="74">
        <f>ROUND($E$8*G16*12,0)</f>
        <v>25156</v>
      </c>
    </row>
    <row r="17" spans="1:8" ht="18.75" customHeight="1">
      <c r="A17" s="27" t="s">
        <v>42</v>
      </c>
      <c r="B17" s="164" t="s">
        <v>33</v>
      </c>
      <c r="C17" s="164"/>
      <c r="D17" s="164"/>
      <c r="E17" s="164"/>
      <c r="F17" s="164"/>
      <c r="G17" s="29"/>
      <c r="H17" s="74"/>
    </row>
    <row r="18" spans="1:8" ht="18" customHeight="1">
      <c r="A18" s="27" t="s">
        <v>123</v>
      </c>
      <c r="B18" s="10" t="s">
        <v>34</v>
      </c>
      <c r="C18" s="10"/>
      <c r="D18" s="10"/>
      <c r="E18" s="10"/>
      <c r="F18" s="5"/>
      <c r="G18" s="40"/>
      <c r="H18" s="74"/>
    </row>
    <row r="19" spans="1:8" ht="33" customHeight="1">
      <c r="A19" s="75"/>
      <c r="B19" s="181" t="s">
        <v>102</v>
      </c>
      <c r="C19" s="181"/>
      <c r="D19" s="181"/>
      <c r="E19" s="49" t="s">
        <v>28</v>
      </c>
      <c r="F19" s="30" t="s">
        <v>22</v>
      </c>
      <c r="G19" s="31">
        <v>1.12</v>
      </c>
      <c r="H19" s="25">
        <f>ROUND($E$8*G19*6,0)</f>
        <v>18061</v>
      </c>
    </row>
    <row r="20" spans="1:8" ht="27" customHeight="1">
      <c r="A20" s="75"/>
      <c r="B20" s="181" t="s">
        <v>16</v>
      </c>
      <c r="C20" s="181"/>
      <c r="D20" s="181"/>
      <c r="E20" s="49" t="s">
        <v>28</v>
      </c>
      <c r="F20" s="30" t="s">
        <v>17</v>
      </c>
      <c r="G20" s="31">
        <v>0.3</v>
      </c>
      <c r="H20" s="25">
        <f aca="true" t="shared" si="0" ref="H20:H26">ROUND($E$8*G20*6,0)</f>
        <v>4838</v>
      </c>
    </row>
    <row r="21" spans="1:8" ht="23.25" customHeight="1">
      <c r="A21" s="75"/>
      <c r="B21" s="182" t="s">
        <v>21</v>
      </c>
      <c r="C21" s="182"/>
      <c r="D21" s="182"/>
      <c r="E21" s="53" t="s">
        <v>64</v>
      </c>
      <c r="F21" s="32" t="s">
        <v>18</v>
      </c>
      <c r="G21" s="31">
        <v>0.41</v>
      </c>
      <c r="H21" s="25">
        <f t="shared" si="0"/>
        <v>6611</v>
      </c>
    </row>
    <row r="22" spans="1:8" ht="24.75" customHeight="1">
      <c r="A22" s="75"/>
      <c r="B22" s="183" t="s">
        <v>27</v>
      </c>
      <c r="C22" s="183"/>
      <c r="D22" s="183"/>
      <c r="E22" s="55" t="s">
        <v>8</v>
      </c>
      <c r="F22" s="33" t="s">
        <v>9</v>
      </c>
      <c r="G22" s="31">
        <v>0.54</v>
      </c>
      <c r="H22" s="25">
        <f t="shared" si="0"/>
        <v>8708</v>
      </c>
    </row>
    <row r="23" spans="1:8" ht="55.5" customHeight="1">
      <c r="A23" s="75"/>
      <c r="B23" s="182" t="s">
        <v>25</v>
      </c>
      <c r="C23" s="182"/>
      <c r="D23" s="182"/>
      <c r="E23" s="53" t="s">
        <v>65</v>
      </c>
      <c r="F23" s="32" t="s">
        <v>23</v>
      </c>
      <c r="G23" s="31">
        <v>0.13</v>
      </c>
      <c r="H23" s="25">
        <f t="shared" si="0"/>
        <v>2096</v>
      </c>
    </row>
    <row r="24" spans="1:8" ht="31.5" customHeight="1">
      <c r="A24" s="75"/>
      <c r="B24" s="182" t="s">
        <v>10</v>
      </c>
      <c r="C24" s="182"/>
      <c r="D24" s="182"/>
      <c r="E24" s="53" t="s">
        <v>8</v>
      </c>
      <c r="F24" s="32" t="s">
        <v>11</v>
      </c>
      <c r="G24" s="93">
        <v>0</v>
      </c>
      <c r="H24" s="25">
        <f t="shared" si="0"/>
        <v>0</v>
      </c>
    </row>
    <row r="25" spans="1:8" ht="23.25" customHeight="1">
      <c r="A25" s="75"/>
      <c r="B25" s="182" t="s">
        <v>24</v>
      </c>
      <c r="C25" s="184"/>
      <c r="D25" s="184"/>
      <c r="E25" s="56" t="s">
        <v>12</v>
      </c>
      <c r="F25" s="29" t="s">
        <v>103</v>
      </c>
      <c r="G25" s="31">
        <v>0.05</v>
      </c>
      <c r="H25" s="25">
        <f t="shared" si="0"/>
        <v>806</v>
      </c>
    </row>
    <row r="26" spans="1:8" ht="29.25" customHeight="1">
      <c r="A26" s="75"/>
      <c r="B26" s="182" t="s">
        <v>66</v>
      </c>
      <c r="C26" s="182"/>
      <c r="D26" s="182"/>
      <c r="E26" s="49" t="s">
        <v>29</v>
      </c>
      <c r="F26" s="32" t="s">
        <v>36</v>
      </c>
      <c r="G26" s="31">
        <v>2.28</v>
      </c>
      <c r="H26" s="25">
        <f t="shared" si="0"/>
        <v>36766</v>
      </c>
    </row>
    <row r="27" spans="1:8" ht="56.25" customHeight="1">
      <c r="A27" s="75"/>
      <c r="B27" s="181" t="s">
        <v>14</v>
      </c>
      <c r="C27" s="181"/>
      <c r="D27" s="181"/>
      <c r="E27" s="49" t="s">
        <v>48</v>
      </c>
      <c r="F27" s="32" t="s">
        <v>36</v>
      </c>
      <c r="G27" s="31">
        <v>0.47</v>
      </c>
      <c r="H27" s="25">
        <f>ROUND($E$8/4*3*G27*6,0)</f>
        <v>5684</v>
      </c>
    </row>
    <row r="28" spans="1:8" ht="33.75" customHeight="1">
      <c r="A28" s="75"/>
      <c r="B28" s="182" t="s">
        <v>30</v>
      </c>
      <c r="C28" s="184"/>
      <c r="D28" s="184"/>
      <c r="E28" s="49" t="s">
        <v>29</v>
      </c>
      <c r="F28" s="32" t="s">
        <v>36</v>
      </c>
      <c r="G28" s="31">
        <f>3.67-G29-G30</f>
        <v>3.67</v>
      </c>
      <c r="H28" s="25">
        <f>ROUND($E$8*G28*6,0)</f>
        <v>59181</v>
      </c>
    </row>
    <row r="29" spans="1:8" ht="21" customHeight="1">
      <c r="A29" s="75"/>
      <c r="B29" s="182" t="s">
        <v>104</v>
      </c>
      <c r="C29" s="182"/>
      <c r="D29" s="182"/>
      <c r="E29" s="53" t="s">
        <v>8</v>
      </c>
      <c r="F29" s="32" t="s">
        <v>36</v>
      </c>
      <c r="G29" s="93">
        <v>0</v>
      </c>
      <c r="H29" s="25">
        <f aca="true" t="shared" si="1" ref="H29:H42">ROUND($E$8*G29*6,0)</f>
        <v>0</v>
      </c>
    </row>
    <row r="30" spans="1:8" ht="21" customHeight="1">
      <c r="A30" s="75"/>
      <c r="B30" s="182" t="s">
        <v>69</v>
      </c>
      <c r="C30" s="182"/>
      <c r="D30" s="182"/>
      <c r="E30" s="53" t="s">
        <v>8</v>
      </c>
      <c r="F30" s="32" t="s">
        <v>36</v>
      </c>
      <c r="G30" s="93">
        <v>0</v>
      </c>
      <c r="H30" s="25">
        <f t="shared" si="1"/>
        <v>0</v>
      </c>
    </row>
    <row r="31" spans="1:8" ht="30" customHeight="1">
      <c r="A31" s="75"/>
      <c r="B31" s="184" t="s">
        <v>19</v>
      </c>
      <c r="C31" s="184"/>
      <c r="D31" s="184"/>
      <c r="E31" s="49" t="s">
        <v>29</v>
      </c>
      <c r="F31" s="32" t="s">
        <v>36</v>
      </c>
      <c r="G31" s="31">
        <v>1.12</v>
      </c>
      <c r="H31" s="25">
        <f t="shared" si="1"/>
        <v>18061</v>
      </c>
    </row>
    <row r="32" spans="1:8" ht="15.75" hidden="1">
      <c r="A32" s="75"/>
      <c r="B32" s="162" t="s">
        <v>70</v>
      </c>
      <c r="C32" s="145"/>
      <c r="D32" s="146"/>
      <c r="E32" s="53" t="s">
        <v>8</v>
      </c>
      <c r="F32" s="32"/>
      <c r="G32" s="31"/>
      <c r="H32" s="25">
        <f t="shared" si="1"/>
        <v>0</v>
      </c>
    </row>
    <row r="33" spans="1:8" ht="15.75" hidden="1">
      <c r="A33" s="75"/>
      <c r="B33" s="162" t="s">
        <v>71</v>
      </c>
      <c r="C33" s="145"/>
      <c r="D33" s="146"/>
      <c r="E33" s="49"/>
      <c r="F33" s="32"/>
      <c r="G33" s="31"/>
      <c r="H33" s="25">
        <f t="shared" si="1"/>
        <v>0</v>
      </c>
    </row>
    <row r="34" spans="1:8" ht="15.75" hidden="1">
      <c r="A34" s="75"/>
      <c r="B34" s="148"/>
      <c r="C34" s="149"/>
      <c r="D34" s="150"/>
      <c r="E34" s="49"/>
      <c r="F34" s="32"/>
      <c r="G34" s="31"/>
      <c r="H34" s="25">
        <f t="shared" si="1"/>
        <v>0</v>
      </c>
    </row>
    <row r="35" spans="1:8" ht="15.75" hidden="1">
      <c r="A35" s="75"/>
      <c r="B35" s="148"/>
      <c r="C35" s="149"/>
      <c r="D35" s="150"/>
      <c r="E35" s="49"/>
      <c r="F35" s="32"/>
      <c r="G35" s="31"/>
      <c r="H35" s="25">
        <f t="shared" si="1"/>
        <v>0</v>
      </c>
    </row>
    <row r="36" spans="1:8" ht="15.75">
      <c r="A36" s="75"/>
      <c r="B36" s="185" t="s">
        <v>26</v>
      </c>
      <c r="C36" s="186"/>
      <c r="D36" s="187"/>
      <c r="E36" s="7"/>
      <c r="F36" s="32"/>
      <c r="G36" s="11">
        <f>SUM(G19:G35)</f>
        <v>10.09</v>
      </c>
      <c r="H36" s="95">
        <f>SUM(H19:H35)</f>
        <v>160812</v>
      </c>
    </row>
    <row r="37" spans="1:8" ht="15.75" hidden="1">
      <c r="A37" s="75"/>
      <c r="B37" s="79"/>
      <c r="C37" s="80"/>
      <c r="D37" s="80"/>
      <c r="E37" s="7"/>
      <c r="F37" s="32"/>
      <c r="G37" s="11"/>
      <c r="H37" s="25">
        <f t="shared" si="1"/>
        <v>0</v>
      </c>
    </row>
    <row r="38" spans="1:8" ht="15.75" hidden="1">
      <c r="A38" s="75"/>
      <c r="B38" s="79"/>
      <c r="C38" s="80"/>
      <c r="D38" s="80"/>
      <c r="E38" s="7"/>
      <c r="F38" s="32"/>
      <c r="G38" s="11"/>
      <c r="H38" s="25">
        <f t="shared" si="1"/>
        <v>0</v>
      </c>
    </row>
    <row r="39" spans="1:8" ht="15.75" hidden="1">
      <c r="A39" s="75"/>
      <c r="B39" s="79"/>
      <c r="C39" s="80"/>
      <c r="D39" s="80"/>
      <c r="E39" s="7"/>
      <c r="F39" s="32"/>
      <c r="G39" s="11"/>
      <c r="H39" s="25">
        <f t="shared" si="1"/>
        <v>0</v>
      </c>
    </row>
    <row r="40" spans="1:8" ht="19.5" customHeight="1">
      <c r="A40" s="27" t="s">
        <v>124</v>
      </c>
      <c r="B40" s="165" t="s">
        <v>109</v>
      </c>
      <c r="C40" s="166"/>
      <c r="D40" s="166"/>
      <c r="E40" s="97" t="s">
        <v>116</v>
      </c>
      <c r="F40" s="32" t="s">
        <v>36</v>
      </c>
      <c r="G40" s="14">
        <v>1.12</v>
      </c>
      <c r="H40" s="25">
        <f>ROUND($E$8*G40*6,0)</f>
        <v>18061</v>
      </c>
    </row>
    <row r="41" spans="1:8" ht="19.5" customHeight="1">
      <c r="A41" s="27" t="s">
        <v>125</v>
      </c>
      <c r="B41" s="188" t="s">
        <v>105</v>
      </c>
      <c r="C41" s="188"/>
      <c r="D41" s="188"/>
      <c r="E41" s="188"/>
      <c r="F41" s="188"/>
      <c r="G41" s="11">
        <f>SUM(G36:G40)</f>
        <v>11.21</v>
      </c>
      <c r="H41" s="95">
        <f>SUM(H36:H40)</f>
        <v>178873</v>
      </c>
    </row>
    <row r="42" spans="1:8" ht="22.5" customHeight="1" thickBot="1">
      <c r="A42" s="77" t="s">
        <v>43</v>
      </c>
      <c r="B42" s="189" t="s">
        <v>110</v>
      </c>
      <c r="C42" s="190"/>
      <c r="D42" s="191"/>
      <c r="E42" s="98" t="s">
        <v>116</v>
      </c>
      <c r="F42" s="35" t="s">
        <v>36</v>
      </c>
      <c r="G42" s="94">
        <v>0.8</v>
      </c>
      <c r="H42" s="96">
        <f t="shared" si="1"/>
        <v>12900</v>
      </c>
    </row>
    <row r="43" spans="1:6" ht="27" customHeight="1" hidden="1">
      <c r="A43" s="82"/>
      <c r="B43" s="195" t="s">
        <v>111</v>
      </c>
      <c r="C43" s="195"/>
      <c r="D43" s="195"/>
      <c r="E43" s="195"/>
      <c r="F43" s="83"/>
    </row>
    <row r="44" spans="1:6" ht="15.75" customHeight="1" hidden="1">
      <c r="A44" s="82"/>
      <c r="B44" s="194" t="s">
        <v>114</v>
      </c>
      <c r="C44" s="194"/>
      <c r="D44" s="194"/>
      <c r="E44" s="194"/>
      <c r="F44" s="83"/>
    </row>
    <row r="45" spans="1:6" ht="15.75" customHeight="1" hidden="1">
      <c r="A45" s="82"/>
      <c r="B45" s="194" t="s">
        <v>115</v>
      </c>
      <c r="C45" s="194"/>
      <c r="D45" s="194"/>
      <c r="E45" s="194"/>
      <c r="F45" s="83"/>
    </row>
    <row r="46" ht="15.75" hidden="1">
      <c r="A46" t="s">
        <v>113</v>
      </c>
    </row>
    <row r="47" spans="2:5" ht="23.25" customHeight="1">
      <c r="B47" s="198" t="s">
        <v>130</v>
      </c>
      <c r="C47" s="198"/>
      <c r="D47" s="198"/>
      <c r="E47" s="198"/>
    </row>
    <row r="49" spans="2:9" ht="15.75">
      <c r="B49" s="19" t="s">
        <v>126</v>
      </c>
      <c r="C49" s="19"/>
      <c r="D49" s="19"/>
      <c r="E49" s="19" t="s">
        <v>127</v>
      </c>
      <c r="F49" s="19"/>
      <c r="G49" s="19"/>
      <c r="H49" s="192"/>
      <c r="I49" s="192"/>
    </row>
    <row r="51" spans="2:5" ht="15.75">
      <c r="B51" s="19" t="s">
        <v>128</v>
      </c>
      <c r="C51" s="19"/>
      <c r="D51" s="19"/>
      <c r="E51" t="s">
        <v>129</v>
      </c>
    </row>
  </sheetData>
  <mergeCells count="35">
    <mergeCell ref="B47:E47"/>
    <mergeCell ref="B44:E44"/>
    <mergeCell ref="B45:E45"/>
    <mergeCell ref="H49:I49"/>
    <mergeCell ref="B31:D31"/>
    <mergeCell ref="B32:D32"/>
    <mergeCell ref="D1:H1"/>
    <mergeCell ref="A4:H4"/>
    <mergeCell ref="B6:E6"/>
    <mergeCell ref="B13:D13"/>
    <mergeCell ref="B12:D12"/>
    <mergeCell ref="B27:D27"/>
    <mergeCell ref="B28:D28"/>
    <mergeCell ref="B29:D29"/>
    <mergeCell ref="B43:E43"/>
    <mergeCell ref="B33:D33"/>
    <mergeCell ref="B34:D34"/>
    <mergeCell ref="B35:D35"/>
    <mergeCell ref="B36:D36"/>
    <mergeCell ref="B40:D40"/>
    <mergeCell ref="B41:F41"/>
    <mergeCell ref="B42:D42"/>
    <mergeCell ref="B30:D30"/>
    <mergeCell ref="B23:D23"/>
    <mergeCell ref="B24:D24"/>
    <mergeCell ref="B25:D25"/>
    <mergeCell ref="B26:D26"/>
    <mergeCell ref="B14:F14"/>
    <mergeCell ref="B15:F15"/>
    <mergeCell ref="B16:F16"/>
    <mergeCell ref="B17:F17"/>
    <mergeCell ref="B19:D19"/>
    <mergeCell ref="B20:D20"/>
    <mergeCell ref="B21:D21"/>
    <mergeCell ref="B22:D2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I26" sqref="I2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8" t="s">
        <v>145</v>
      </c>
      <c r="B1" s="168"/>
      <c r="C1" s="168"/>
      <c r="D1" s="168"/>
      <c r="E1" s="168"/>
      <c r="F1" s="168"/>
      <c r="G1" s="168"/>
      <c r="H1" s="168"/>
      <c r="I1" s="168"/>
    </row>
    <row r="2" spans="1:9" ht="1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9" ht="14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7" ht="31.5" customHeight="1">
      <c r="A4" t="s">
        <v>40</v>
      </c>
      <c r="B4" s="1" t="s">
        <v>146</v>
      </c>
      <c r="C4" s="2"/>
      <c r="D4" s="102" t="s">
        <v>131</v>
      </c>
      <c r="E4" s="16">
        <v>2687.6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76" t="s">
        <v>51</v>
      </c>
      <c r="C8" s="177"/>
      <c r="D8" s="178"/>
      <c r="E8" s="22" t="s">
        <v>6</v>
      </c>
      <c r="F8" s="22" t="s">
        <v>7</v>
      </c>
      <c r="G8" s="103" t="s">
        <v>132</v>
      </c>
      <c r="H8" s="72" t="s">
        <v>133</v>
      </c>
      <c r="I8" s="73" t="s">
        <v>134</v>
      </c>
    </row>
    <row r="9" spans="1:9" ht="26.25" customHeight="1">
      <c r="A9" s="89">
        <v>1</v>
      </c>
      <c r="B9" s="170">
        <v>2</v>
      </c>
      <c r="C9" s="171"/>
      <c r="D9" s="172"/>
      <c r="E9" s="90">
        <v>3</v>
      </c>
      <c r="F9" s="90"/>
      <c r="G9" s="104">
        <v>4</v>
      </c>
      <c r="H9" s="105">
        <v>5</v>
      </c>
      <c r="I9" s="106" t="s">
        <v>135</v>
      </c>
    </row>
    <row r="10" spans="1:9" ht="15.75" customHeight="1">
      <c r="A10" s="27">
        <v>1</v>
      </c>
      <c r="B10" s="179" t="s">
        <v>46</v>
      </c>
      <c r="C10" s="179"/>
      <c r="D10" s="179"/>
      <c r="E10" s="179"/>
      <c r="F10" s="179"/>
      <c r="G10" s="91"/>
      <c r="H10" s="28"/>
      <c r="I10" s="74"/>
    </row>
    <row r="11" spans="1:9" ht="28.5" customHeight="1">
      <c r="A11" s="27"/>
      <c r="B11" s="163" t="s">
        <v>101</v>
      </c>
      <c r="C11" s="163"/>
      <c r="D11" s="163"/>
      <c r="E11" s="163"/>
      <c r="F11" s="163"/>
      <c r="G11" s="14">
        <f>G32</f>
        <v>10.91</v>
      </c>
      <c r="H11" s="14">
        <f>H32</f>
        <v>11.619999999999997</v>
      </c>
      <c r="I11" s="25">
        <f>ROUND($E$4*G11*6,0)+ROUND($E$4*H11*6,0)</f>
        <v>363309</v>
      </c>
    </row>
    <row r="12" spans="1:9" ht="15.75" customHeight="1">
      <c r="A12" s="27"/>
      <c r="B12" s="180" t="s">
        <v>47</v>
      </c>
      <c r="C12" s="180"/>
      <c r="D12" s="180"/>
      <c r="E12" s="180"/>
      <c r="F12" s="180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26607</v>
      </c>
    </row>
    <row r="13" spans="1:9" ht="18.75" customHeight="1">
      <c r="A13" s="27">
        <v>2</v>
      </c>
      <c r="B13" s="164" t="s">
        <v>33</v>
      </c>
      <c r="C13" s="164"/>
      <c r="D13" s="164"/>
      <c r="E13" s="164"/>
      <c r="F13" s="164"/>
      <c r="G13" s="13"/>
      <c r="H13" s="29"/>
      <c r="I13" s="25"/>
    </row>
    <row r="14" spans="1:9" ht="15.75" customHeight="1">
      <c r="A14" s="27" t="s">
        <v>62</v>
      </c>
      <c r="B14" s="10" t="s">
        <v>34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5"/>
      <c r="B15" s="181" t="s">
        <v>136</v>
      </c>
      <c r="C15" s="181"/>
      <c r="D15" s="181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37250</v>
      </c>
    </row>
    <row r="16" spans="1:9" ht="18" customHeight="1">
      <c r="A16" s="75"/>
      <c r="B16" s="181" t="s">
        <v>16</v>
      </c>
      <c r="C16" s="181"/>
      <c r="D16" s="181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9998</v>
      </c>
    </row>
    <row r="17" spans="1:9" ht="15.75" customHeight="1">
      <c r="A17" s="75"/>
      <c r="B17" s="182" t="s">
        <v>137</v>
      </c>
      <c r="C17" s="182"/>
      <c r="D17" s="182"/>
      <c r="E17" s="53" t="s">
        <v>64</v>
      </c>
      <c r="F17" s="32" t="s">
        <v>18</v>
      </c>
      <c r="G17" s="31">
        <v>0.11</v>
      </c>
      <c r="H17" s="31">
        <v>0.12</v>
      </c>
      <c r="I17" s="25">
        <f t="shared" si="0"/>
        <v>3709</v>
      </c>
    </row>
    <row r="18" spans="1:9" ht="15.75">
      <c r="A18" s="75"/>
      <c r="B18" s="183" t="s">
        <v>27</v>
      </c>
      <c r="C18" s="183"/>
      <c r="D18" s="183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18061</v>
      </c>
    </row>
    <row r="19" spans="1:9" ht="51">
      <c r="A19" s="75"/>
      <c r="B19" s="182" t="s">
        <v>25</v>
      </c>
      <c r="C19" s="182"/>
      <c r="D19" s="182"/>
      <c r="E19" s="53" t="s">
        <v>65</v>
      </c>
      <c r="F19" s="32" t="s">
        <v>23</v>
      </c>
      <c r="G19" s="31">
        <v>0.13</v>
      </c>
      <c r="H19" s="31">
        <v>0.14</v>
      </c>
      <c r="I19" s="25">
        <f t="shared" si="0"/>
        <v>4354</v>
      </c>
    </row>
    <row r="20" spans="1:9" ht="16.5" customHeight="1">
      <c r="A20" s="75"/>
      <c r="B20" s="182" t="s">
        <v>10</v>
      </c>
      <c r="C20" s="182"/>
      <c r="D20" s="182"/>
      <c r="E20" s="53" t="s">
        <v>8</v>
      </c>
      <c r="F20" s="32" t="s">
        <v>11</v>
      </c>
      <c r="G20" s="93">
        <v>0</v>
      </c>
      <c r="H20" s="31">
        <v>0</v>
      </c>
      <c r="I20" s="25">
        <f t="shared" si="0"/>
        <v>0</v>
      </c>
    </row>
    <row r="21" spans="1:9" ht="15.75">
      <c r="A21" s="75"/>
      <c r="B21" s="182" t="s">
        <v>24</v>
      </c>
      <c r="C21" s="184"/>
      <c r="D21" s="184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1612</v>
      </c>
    </row>
    <row r="22" spans="1:9" ht="38.25">
      <c r="A22" s="75"/>
      <c r="B22" s="182" t="s">
        <v>66</v>
      </c>
      <c r="C22" s="182"/>
      <c r="D22" s="182"/>
      <c r="E22" s="49" t="s">
        <v>138</v>
      </c>
      <c r="F22" s="32" t="s">
        <v>36</v>
      </c>
      <c r="G22" s="31">
        <v>2.28</v>
      </c>
      <c r="H22" s="31">
        <v>1.74</v>
      </c>
      <c r="I22" s="25">
        <f t="shared" si="0"/>
        <v>64825</v>
      </c>
    </row>
    <row r="23" spans="1:9" ht="51">
      <c r="A23" s="75"/>
      <c r="B23" s="181" t="s">
        <v>14</v>
      </c>
      <c r="C23" s="181"/>
      <c r="D23" s="181"/>
      <c r="E23" s="49" t="s">
        <v>48</v>
      </c>
      <c r="F23" s="32" t="s">
        <v>36</v>
      </c>
      <c r="G23" s="31">
        <v>0.47</v>
      </c>
      <c r="H23" s="31">
        <v>0.5</v>
      </c>
      <c r="I23" s="25">
        <f t="shared" si="0"/>
        <v>15642</v>
      </c>
    </row>
    <row r="24" spans="1:9" ht="30.75" customHeight="1">
      <c r="A24" s="75"/>
      <c r="B24" s="182" t="s">
        <v>30</v>
      </c>
      <c r="C24" s="184"/>
      <c r="D24" s="184"/>
      <c r="E24" s="49" t="s">
        <v>29</v>
      </c>
      <c r="F24" s="32" t="s">
        <v>36</v>
      </c>
      <c r="G24" s="31">
        <f>3.67-G25-G26</f>
        <v>3.67</v>
      </c>
      <c r="H24" s="31">
        <f>4.6-H25-H26</f>
        <v>4.6</v>
      </c>
      <c r="I24" s="25">
        <f t="shared" si="0"/>
        <v>133359</v>
      </c>
    </row>
    <row r="25" spans="1:9" ht="16.5" customHeight="1">
      <c r="A25" s="75"/>
      <c r="B25" s="182" t="s">
        <v>104</v>
      </c>
      <c r="C25" s="182"/>
      <c r="D25" s="182"/>
      <c r="E25" s="53" t="s">
        <v>8</v>
      </c>
      <c r="F25" s="32" t="s">
        <v>36</v>
      </c>
      <c r="G25" s="93">
        <v>0</v>
      </c>
      <c r="H25" s="31">
        <v>0</v>
      </c>
      <c r="I25" s="25">
        <f t="shared" si="0"/>
        <v>0</v>
      </c>
    </row>
    <row r="26" spans="1:9" ht="15.75" customHeight="1">
      <c r="A26" s="75"/>
      <c r="B26" s="182" t="s">
        <v>69</v>
      </c>
      <c r="C26" s="182"/>
      <c r="D26" s="182"/>
      <c r="E26" s="53" t="s">
        <v>8</v>
      </c>
      <c r="F26" s="32" t="s">
        <v>36</v>
      </c>
      <c r="G26" s="93">
        <v>0</v>
      </c>
      <c r="H26" s="31">
        <v>0</v>
      </c>
      <c r="I26" s="25">
        <f t="shared" si="0"/>
        <v>0</v>
      </c>
    </row>
    <row r="27" spans="1:9" ht="26.25" customHeight="1">
      <c r="A27" s="75"/>
      <c r="B27" s="184" t="s">
        <v>139</v>
      </c>
      <c r="C27" s="184"/>
      <c r="D27" s="184"/>
      <c r="E27" s="49" t="s">
        <v>29</v>
      </c>
      <c r="F27" s="32" t="s">
        <v>36</v>
      </c>
      <c r="G27" s="31">
        <v>1.12</v>
      </c>
      <c r="H27" s="31">
        <v>1.19</v>
      </c>
      <c r="I27" s="25">
        <f t="shared" si="0"/>
        <v>37250</v>
      </c>
    </row>
    <row r="28" spans="1:9" ht="15.75" hidden="1">
      <c r="A28" s="75"/>
      <c r="B28" s="162" t="s">
        <v>70</v>
      </c>
      <c r="C28" s="145"/>
      <c r="D28" s="146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5"/>
      <c r="B29" s="162" t="s">
        <v>71</v>
      </c>
      <c r="C29" s="145"/>
      <c r="D29" s="146"/>
      <c r="E29" s="49"/>
      <c r="F29" s="32"/>
      <c r="G29" s="31"/>
      <c r="H29" s="31"/>
      <c r="I29" s="25">
        <f t="shared" si="0"/>
        <v>0</v>
      </c>
    </row>
    <row r="30" spans="1:9" ht="15.75">
      <c r="A30" s="75"/>
      <c r="B30" s="185" t="s">
        <v>26</v>
      </c>
      <c r="C30" s="186"/>
      <c r="D30" s="187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326060</v>
      </c>
    </row>
    <row r="31" spans="1:9" ht="16.5" customHeight="1">
      <c r="A31" s="27" t="s">
        <v>72</v>
      </c>
      <c r="B31" s="159" t="s">
        <v>140</v>
      </c>
      <c r="C31" s="160"/>
      <c r="D31" s="160"/>
      <c r="E31" s="107" t="s">
        <v>141</v>
      </c>
      <c r="F31" s="108" t="s">
        <v>36</v>
      </c>
      <c r="G31" s="14">
        <v>1.12</v>
      </c>
      <c r="H31" s="14">
        <v>1.19</v>
      </c>
      <c r="I31" s="25">
        <f t="shared" si="0"/>
        <v>37250</v>
      </c>
    </row>
    <row r="32" spans="1:9" ht="15.75">
      <c r="A32" s="27" t="s">
        <v>74</v>
      </c>
      <c r="B32" s="200" t="s">
        <v>105</v>
      </c>
      <c r="C32" s="201"/>
      <c r="D32" s="202"/>
      <c r="E32" s="10"/>
      <c r="F32" s="109"/>
      <c r="G32" s="11">
        <f>SUM(G30:G31)</f>
        <v>10.91</v>
      </c>
      <c r="H32" s="11">
        <f>SUM(H30:H31)</f>
        <v>11.619999999999997</v>
      </c>
      <c r="I32" s="25">
        <f t="shared" si="0"/>
        <v>363309</v>
      </c>
    </row>
    <row r="33" spans="1:9" ht="17.25" customHeight="1" thickBot="1">
      <c r="A33" s="77">
        <v>3</v>
      </c>
      <c r="B33" s="189" t="s">
        <v>110</v>
      </c>
      <c r="C33" s="190"/>
      <c r="D33" s="191"/>
      <c r="E33" s="34" t="s">
        <v>116</v>
      </c>
      <c r="F33" s="35" t="s">
        <v>36</v>
      </c>
      <c r="G33" s="94">
        <v>0.8</v>
      </c>
      <c r="H33" s="34">
        <v>0.85</v>
      </c>
      <c r="I33" s="96">
        <f t="shared" si="0"/>
        <v>26607</v>
      </c>
    </row>
    <row r="34" spans="1:6" ht="42" customHeight="1">
      <c r="A34" s="203" t="s">
        <v>142</v>
      </c>
      <c r="B34" s="203"/>
      <c r="C34" s="203"/>
      <c r="D34" s="203"/>
      <c r="E34" s="203"/>
      <c r="F34" s="83"/>
    </row>
    <row r="35" spans="1:6" ht="15.75" customHeight="1">
      <c r="A35" s="82"/>
      <c r="B35" s="194"/>
      <c r="C35" s="194"/>
      <c r="D35" s="194"/>
      <c r="E35" s="194"/>
      <c r="F35" s="83"/>
    </row>
    <row r="37" spans="2:10" ht="15.75">
      <c r="B37" s="19" t="s">
        <v>143</v>
      </c>
      <c r="E37" s="199" t="s">
        <v>144</v>
      </c>
      <c r="F37" s="199"/>
      <c r="G37" s="199"/>
      <c r="H37" s="199"/>
      <c r="I37" s="192"/>
      <c r="J37" s="192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23">
      <selection activeCell="E25" sqref="E25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8.00390625" style="0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31.00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4.5" customHeight="1">
      <c r="A2" s="205" t="s">
        <v>147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6" ht="31.5">
      <c r="A3" s="1"/>
      <c r="B3" s="1" t="s">
        <v>155</v>
      </c>
      <c r="C3" s="2"/>
      <c r="D3" s="102" t="s">
        <v>131</v>
      </c>
      <c r="E3" s="16">
        <v>2687.6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70" t="s">
        <v>51</v>
      </c>
      <c r="C7" s="171"/>
      <c r="D7" s="172"/>
      <c r="E7" s="6" t="s">
        <v>6</v>
      </c>
      <c r="F7" s="6" t="s">
        <v>7</v>
      </c>
      <c r="G7" s="110" t="s">
        <v>157</v>
      </c>
      <c r="H7" s="173" t="s">
        <v>156</v>
      </c>
      <c r="I7" s="174"/>
      <c r="J7" s="175"/>
      <c r="K7" s="23">
        <v>6</v>
      </c>
      <c r="L7" s="111" t="s">
        <v>148</v>
      </c>
    </row>
    <row r="8" spans="1:10" ht="15.75">
      <c r="A8" s="13">
        <v>1</v>
      </c>
      <c r="B8" s="165"/>
      <c r="C8" s="166"/>
      <c r="D8" s="166"/>
      <c r="E8" s="166"/>
      <c r="F8" s="167"/>
      <c r="G8" s="112"/>
      <c r="H8" s="113" t="s">
        <v>53</v>
      </c>
      <c r="I8" s="41" t="s">
        <v>54</v>
      </c>
      <c r="J8" s="41" t="s">
        <v>55</v>
      </c>
    </row>
    <row r="9" spans="1:10" ht="15.75">
      <c r="A9" s="13"/>
      <c r="B9" s="165" t="s">
        <v>56</v>
      </c>
      <c r="C9" s="166"/>
      <c r="D9" s="166"/>
      <c r="E9" s="166"/>
      <c r="F9" s="167"/>
      <c r="G9" s="24"/>
      <c r="H9" s="24"/>
      <c r="I9" s="24"/>
      <c r="J9" s="41"/>
    </row>
    <row r="10" spans="1:10" ht="15.75">
      <c r="A10" s="42"/>
      <c r="B10" s="144" t="s">
        <v>57</v>
      </c>
      <c r="C10" s="144"/>
      <c r="D10" s="144"/>
      <c r="E10" s="144"/>
      <c r="F10" s="144"/>
      <c r="G10" s="8"/>
      <c r="H10" s="18">
        <v>195011.2</v>
      </c>
      <c r="I10" s="28"/>
      <c r="J10" s="43">
        <f>H10+I10</f>
        <v>195011.2</v>
      </c>
    </row>
    <row r="11" spans="1:10" ht="15.75">
      <c r="A11" s="42"/>
      <c r="B11" s="144" t="s">
        <v>58</v>
      </c>
      <c r="C11" s="144"/>
      <c r="D11" s="144"/>
      <c r="E11" s="144"/>
      <c r="F11" s="144"/>
      <c r="G11" s="8"/>
      <c r="H11" s="9">
        <v>13032.48</v>
      </c>
      <c r="I11" s="28"/>
      <c r="J11" s="43">
        <f>H11+I11</f>
        <v>13032.48</v>
      </c>
    </row>
    <row r="12" spans="1:10" ht="15.75">
      <c r="A12" s="13"/>
      <c r="B12" s="144" t="s">
        <v>59</v>
      </c>
      <c r="C12" s="144"/>
      <c r="D12" s="144"/>
      <c r="E12" s="144"/>
      <c r="F12" s="144"/>
      <c r="G12" s="8"/>
      <c r="H12" s="18"/>
      <c r="I12" s="28">
        <v>0</v>
      </c>
      <c r="J12" s="43">
        <f>H12+I12</f>
        <v>0</v>
      </c>
    </row>
    <row r="13" spans="1:10" ht="15.75">
      <c r="A13" s="13"/>
      <c r="B13" s="144" t="s">
        <v>60</v>
      </c>
      <c r="C13" s="144"/>
      <c r="D13" s="144"/>
      <c r="E13" s="144"/>
      <c r="F13" s="144"/>
      <c r="G13" s="8"/>
      <c r="H13" s="18">
        <v>0</v>
      </c>
      <c r="I13" s="44">
        <v>0</v>
      </c>
      <c r="J13" s="43">
        <f>H13+I13</f>
        <v>0</v>
      </c>
    </row>
    <row r="14" spans="1:10" ht="15.75">
      <c r="A14" s="13"/>
      <c r="B14" s="163" t="s">
        <v>61</v>
      </c>
      <c r="C14" s="163"/>
      <c r="D14" s="163"/>
      <c r="E14" s="163"/>
      <c r="F14" s="163"/>
      <c r="G14" s="8"/>
      <c r="H14" s="45">
        <f>SUM(H10:H12)</f>
        <v>208043.68000000002</v>
      </c>
      <c r="I14" s="46">
        <f>SUM(I10:I12)</f>
        <v>0</v>
      </c>
      <c r="J14" s="45">
        <f>SUM(J10:J13)</f>
        <v>208043.68000000002</v>
      </c>
    </row>
    <row r="15" spans="1:10" ht="18.75">
      <c r="A15" s="13">
        <v>2</v>
      </c>
      <c r="B15" s="206" t="s">
        <v>33</v>
      </c>
      <c r="C15" s="206"/>
      <c r="D15" s="206"/>
      <c r="E15" s="206"/>
      <c r="F15" s="206"/>
      <c r="G15" s="8"/>
      <c r="H15" s="18"/>
      <c r="I15" s="28"/>
      <c r="J15" s="20"/>
    </row>
    <row r="16" spans="1:10" ht="15.75">
      <c r="A16" s="13" t="s">
        <v>62</v>
      </c>
      <c r="B16" s="114" t="s">
        <v>34</v>
      </c>
      <c r="C16" s="114"/>
      <c r="D16" s="114"/>
      <c r="E16" s="114"/>
      <c r="F16" s="115"/>
      <c r="G16" s="113"/>
      <c r="H16" s="113"/>
      <c r="I16" s="37"/>
      <c r="J16" s="41"/>
    </row>
    <row r="17" spans="1:10" ht="33" customHeight="1">
      <c r="A17" s="48"/>
      <c r="B17" s="143" t="s">
        <v>149</v>
      </c>
      <c r="C17" s="143"/>
      <c r="D17" s="143"/>
      <c r="E17" s="116" t="s">
        <v>28</v>
      </c>
      <c r="F17" s="30" t="s">
        <v>22</v>
      </c>
      <c r="G17" s="31">
        <v>1.12</v>
      </c>
      <c r="H17" s="50">
        <f>ROUND($E$3*G17*$K$7,2)</f>
        <v>18060.67</v>
      </c>
      <c r="I17" s="51"/>
      <c r="J17" s="52">
        <f>SUM(H17:I17)</f>
        <v>18060.67</v>
      </c>
    </row>
    <row r="18" spans="1:10" ht="17.25" customHeight="1">
      <c r="A18" s="13"/>
      <c r="B18" s="152" t="s">
        <v>16</v>
      </c>
      <c r="C18" s="152"/>
      <c r="D18" s="152"/>
      <c r="E18" s="116" t="s">
        <v>28</v>
      </c>
      <c r="F18" s="30" t="s">
        <v>17</v>
      </c>
      <c r="G18" s="31">
        <v>0.3</v>
      </c>
      <c r="H18" s="50">
        <f>ROUND($E$3*G18*$K$7,2)</f>
        <v>4837.68</v>
      </c>
      <c r="I18" s="51"/>
      <c r="J18" s="52">
        <f>SUM(H18:I18)</f>
        <v>4837.68</v>
      </c>
    </row>
    <row r="19" spans="1:10" ht="20.25" customHeight="1">
      <c r="A19" s="13"/>
      <c r="B19" s="142" t="s">
        <v>21</v>
      </c>
      <c r="C19" s="142"/>
      <c r="D19" s="142"/>
      <c r="E19" s="97" t="s">
        <v>64</v>
      </c>
      <c r="F19" s="32" t="s">
        <v>18</v>
      </c>
      <c r="G19" s="31">
        <v>0.41</v>
      </c>
      <c r="H19" s="50">
        <f>J19-I19</f>
        <v>2781.41</v>
      </c>
      <c r="I19" s="51"/>
      <c r="J19" s="54">
        <v>2781.41</v>
      </c>
    </row>
    <row r="20" spans="1:10" ht="20.25" customHeight="1">
      <c r="A20" s="48"/>
      <c r="B20" s="143" t="s">
        <v>27</v>
      </c>
      <c r="C20" s="143"/>
      <c r="D20" s="143"/>
      <c r="E20" s="117" t="s">
        <v>8</v>
      </c>
      <c r="F20" s="33" t="s">
        <v>9</v>
      </c>
      <c r="G20" s="31">
        <v>0.54</v>
      </c>
      <c r="H20" s="50">
        <f>ROUND($E$3*G20*$K$7,2)</f>
        <v>8707.82</v>
      </c>
      <c r="I20" s="51"/>
      <c r="J20" s="52">
        <f>SUM(H20:I20)</f>
        <v>8707.82</v>
      </c>
    </row>
    <row r="21" spans="1:10" ht="60.75" customHeight="1">
      <c r="A21" s="13"/>
      <c r="B21" s="142" t="s">
        <v>25</v>
      </c>
      <c r="C21" s="142"/>
      <c r="D21" s="142"/>
      <c r="E21" s="97" t="s">
        <v>65</v>
      </c>
      <c r="F21" s="32" t="s">
        <v>23</v>
      </c>
      <c r="G21" s="31">
        <v>0.13</v>
      </c>
      <c r="H21" s="50">
        <f>J21-I21</f>
        <v>3090.88</v>
      </c>
      <c r="I21" s="51"/>
      <c r="J21" s="54">
        <v>3090.88</v>
      </c>
    </row>
    <row r="22" spans="1:10" ht="20.25" customHeight="1">
      <c r="A22" s="48"/>
      <c r="B22" s="142" t="s">
        <v>10</v>
      </c>
      <c r="C22" s="142"/>
      <c r="D22" s="142"/>
      <c r="E22" s="97" t="s">
        <v>8</v>
      </c>
      <c r="F22" s="32" t="s">
        <v>11</v>
      </c>
      <c r="G22" s="93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42" t="s">
        <v>24</v>
      </c>
      <c r="C23" s="147"/>
      <c r="D23" s="147"/>
      <c r="E23" s="118" t="s">
        <v>12</v>
      </c>
      <c r="F23" s="29" t="s">
        <v>13</v>
      </c>
      <c r="G23" s="31">
        <v>0.05</v>
      </c>
      <c r="H23" s="50">
        <f>J23-I23</f>
        <v>4057.5</v>
      </c>
      <c r="I23" s="51"/>
      <c r="J23" s="54">
        <v>4057.5</v>
      </c>
    </row>
    <row r="24" spans="1:10" ht="28.5" customHeight="1">
      <c r="A24" s="13"/>
      <c r="B24" s="142" t="s">
        <v>66</v>
      </c>
      <c r="C24" s="142"/>
      <c r="D24" s="142"/>
      <c r="E24" s="116" t="s">
        <v>29</v>
      </c>
      <c r="F24" s="57" t="s">
        <v>67</v>
      </c>
      <c r="G24" s="31">
        <v>1.63</v>
      </c>
      <c r="H24" s="50">
        <f aca="true" t="shared" si="0" ref="H24:H29">ROUND($E$3*G24*$K$7,2)</f>
        <v>26284.73</v>
      </c>
      <c r="I24" s="51"/>
      <c r="J24" s="52">
        <f aca="true" t="shared" si="1" ref="J24:J29">SUM(H24:I24)</f>
        <v>26284.73</v>
      </c>
    </row>
    <row r="25" spans="1:10" ht="39" customHeight="1">
      <c r="A25" s="13"/>
      <c r="B25" s="152" t="s">
        <v>14</v>
      </c>
      <c r="C25" s="152"/>
      <c r="D25" s="152"/>
      <c r="E25" s="116" t="s">
        <v>170</v>
      </c>
      <c r="F25" s="57" t="s">
        <v>67</v>
      </c>
      <c r="G25" s="31">
        <v>0.47</v>
      </c>
      <c r="H25" s="50">
        <v>4104.1</v>
      </c>
      <c r="I25" s="51"/>
      <c r="J25" s="52">
        <f t="shared" si="1"/>
        <v>4104.1</v>
      </c>
    </row>
    <row r="26" spans="1:10" ht="30" customHeight="1">
      <c r="A26" s="13"/>
      <c r="B26" s="207" t="s">
        <v>30</v>
      </c>
      <c r="C26" s="149"/>
      <c r="D26" s="150"/>
      <c r="E26" s="116" t="s">
        <v>29</v>
      </c>
      <c r="F26" s="57" t="s">
        <v>67</v>
      </c>
      <c r="G26" s="31">
        <f>4.32-G27-G28</f>
        <v>4.32</v>
      </c>
      <c r="H26" s="50">
        <f t="shared" si="0"/>
        <v>69662.59</v>
      </c>
      <c r="I26" s="60"/>
      <c r="J26" s="52">
        <f t="shared" si="1"/>
        <v>69662.59</v>
      </c>
    </row>
    <row r="27" spans="1:10" ht="26.25" customHeight="1">
      <c r="A27" s="48"/>
      <c r="B27" s="142" t="s">
        <v>68</v>
      </c>
      <c r="C27" s="142"/>
      <c r="D27" s="142"/>
      <c r="E27" s="116" t="s">
        <v>29</v>
      </c>
      <c r="F27" s="57" t="s">
        <v>67</v>
      </c>
      <c r="G27" s="93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42" t="s">
        <v>69</v>
      </c>
      <c r="C28" s="142"/>
      <c r="D28" s="142"/>
      <c r="E28" s="97" t="s">
        <v>8</v>
      </c>
      <c r="F28" s="57" t="s">
        <v>67</v>
      </c>
      <c r="G28" s="93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7" t="s">
        <v>19</v>
      </c>
      <c r="C29" s="147"/>
      <c r="D29" s="147"/>
      <c r="E29" s="53" t="s">
        <v>29</v>
      </c>
      <c r="F29" s="57" t="s">
        <v>67</v>
      </c>
      <c r="G29" s="31">
        <v>1.12</v>
      </c>
      <c r="H29" s="50">
        <f t="shared" si="0"/>
        <v>18060.67</v>
      </c>
      <c r="I29" s="51"/>
      <c r="J29" s="52">
        <f t="shared" si="1"/>
        <v>18060.67</v>
      </c>
    </row>
    <row r="30" spans="1:10" ht="15.75">
      <c r="A30" s="13"/>
      <c r="B30" s="148"/>
      <c r="C30" s="149"/>
      <c r="D30" s="150"/>
      <c r="E30" s="97"/>
      <c r="F30" s="57"/>
      <c r="G30" s="29"/>
      <c r="H30" s="58"/>
      <c r="I30" s="44"/>
      <c r="J30" s="61"/>
    </row>
    <row r="31" spans="1:10" ht="15.75">
      <c r="A31" s="13"/>
      <c r="B31" s="208" t="s">
        <v>26</v>
      </c>
      <c r="C31" s="208"/>
      <c r="D31" s="208"/>
      <c r="E31" s="13"/>
      <c r="F31" s="57"/>
      <c r="G31" s="14">
        <f>SUM(G17:G29)</f>
        <v>10.09</v>
      </c>
      <c r="H31" s="70">
        <f>SUM(H17:H30)</f>
        <v>159648.05</v>
      </c>
      <c r="I31" s="46"/>
      <c r="J31" s="70">
        <f>SUM(J17:J30)</f>
        <v>159648.05</v>
      </c>
    </row>
    <row r="32" spans="1:10" ht="15.75" hidden="1">
      <c r="A32" s="13"/>
      <c r="B32" s="162" t="s">
        <v>70</v>
      </c>
      <c r="C32" s="145"/>
      <c r="D32" s="146"/>
      <c r="E32" s="97" t="s">
        <v>8</v>
      </c>
      <c r="F32" s="57"/>
      <c r="G32" s="29"/>
      <c r="H32" s="58"/>
      <c r="I32" s="44"/>
      <c r="J32" s="61"/>
    </row>
    <row r="33" spans="1:10" ht="25.5" hidden="1">
      <c r="A33" s="13"/>
      <c r="B33" s="162" t="s">
        <v>71</v>
      </c>
      <c r="C33" s="145"/>
      <c r="D33" s="146"/>
      <c r="E33" s="116" t="s">
        <v>29</v>
      </c>
      <c r="F33" s="57"/>
      <c r="G33" s="29"/>
      <c r="H33" s="58"/>
      <c r="I33" s="44"/>
      <c r="J33" s="61"/>
    </row>
    <row r="34" spans="1:10" ht="15.75">
      <c r="A34" s="13"/>
      <c r="B34" s="148"/>
      <c r="C34" s="149"/>
      <c r="D34" s="150"/>
      <c r="E34" s="97"/>
      <c r="F34" s="57"/>
      <c r="G34" s="29"/>
      <c r="H34" s="58"/>
      <c r="I34" s="44"/>
      <c r="J34" s="61"/>
    </row>
    <row r="35" spans="1:10" ht="15" customHeight="1">
      <c r="A35" s="13" t="s">
        <v>72</v>
      </c>
      <c r="B35" s="159" t="s">
        <v>73</v>
      </c>
      <c r="C35" s="160"/>
      <c r="D35" s="160"/>
      <c r="E35" s="161"/>
      <c r="F35" s="57" t="s">
        <v>67</v>
      </c>
      <c r="G35" s="14">
        <f>H35/E3/$K$7</f>
        <v>2.5390435084586</v>
      </c>
      <c r="H35" s="119">
        <v>40943.6</v>
      </c>
      <c r="I35" s="65"/>
      <c r="J35" s="70">
        <f>SUM(H35:I35)</f>
        <v>40943.6</v>
      </c>
    </row>
    <row r="36" spans="1:10" ht="14.25" customHeight="1">
      <c r="A36" s="15"/>
      <c r="B36" s="153" t="s">
        <v>35</v>
      </c>
      <c r="C36" s="153"/>
      <c r="D36" s="153"/>
      <c r="E36" s="153"/>
      <c r="F36" s="153"/>
      <c r="G36" s="14">
        <f>SUM(G31:G35)</f>
        <v>12.6290435084586</v>
      </c>
      <c r="H36" s="120">
        <f>SUM(H31:H35)</f>
        <v>200591.65</v>
      </c>
      <c r="I36" s="121"/>
      <c r="J36" s="121">
        <f>SUM(J31:J35)</f>
        <v>200591.65</v>
      </c>
    </row>
    <row r="37" spans="1:10" ht="15.75">
      <c r="A37" s="13" t="s">
        <v>74</v>
      </c>
      <c r="B37" s="153" t="s">
        <v>75</v>
      </c>
      <c r="C37" s="153"/>
      <c r="D37" s="153"/>
      <c r="E37" s="153"/>
      <c r="F37" s="153"/>
      <c r="G37" s="14">
        <f>H37/E3/$K$7</f>
        <v>0</v>
      </c>
      <c r="H37" s="68">
        <v>0</v>
      </c>
      <c r="I37" s="68"/>
      <c r="J37" s="122">
        <f>SUM(H37:I37)</f>
        <v>0</v>
      </c>
    </row>
    <row r="38" spans="1:10" ht="24.75" customHeight="1">
      <c r="A38" s="15"/>
      <c r="B38" s="153" t="s">
        <v>76</v>
      </c>
      <c r="C38" s="153"/>
      <c r="D38" s="153"/>
      <c r="E38" s="153"/>
      <c r="F38" s="153"/>
      <c r="G38" s="14">
        <f>SUM(G36:G37)</f>
        <v>12.6290435084586</v>
      </c>
      <c r="H38" s="120">
        <f>SUM(H36:H37)</f>
        <v>200591.65</v>
      </c>
      <c r="I38" s="121"/>
      <c r="J38" s="121">
        <f>SUM(J36:J37)</f>
        <v>200591.65</v>
      </c>
    </row>
    <row r="39" spans="1:10" ht="27" customHeight="1">
      <c r="A39" s="13">
        <v>3</v>
      </c>
      <c r="B39" s="155" t="s">
        <v>158</v>
      </c>
      <c r="C39" s="156"/>
      <c r="D39" s="156"/>
      <c r="E39" s="156"/>
      <c r="F39" s="156"/>
      <c r="G39" s="101"/>
      <c r="H39" s="50">
        <f>H14-H38</f>
        <v>7452.030000000028</v>
      </c>
      <c r="I39" s="50"/>
      <c r="J39" s="46">
        <f>J14-J38</f>
        <v>7452.030000000028</v>
      </c>
    </row>
    <row r="40" spans="2:6" ht="15.75">
      <c r="B40" s="19"/>
      <c r="F40" s="19"/>
    </row>
    <row r="41" spans="2:10" ht="15.75" customHeight="1">
      <c r="B41" s="209" t="s">
        <v>150</v>
      </c>
      <c r="C41" s="209"/>
      <c r="D41" s="209"/>
      <c r="E41" s="209"/>
      <c r="F41" s="209"/>
      <c r="G41" s="209"/>
      <c r="H41" s="209"/>
      <c r="I41" s="209"/>
      <c r="J41" s="209"/>
    </row>
    <row r="42" spans="2:4" ht="25.5" customHeight="1">
      <c r="B42" s="19"/>
      <c r="C42" s="19"/>
      <c r="D42" s="19"/>
    </row>
    <row r="43" spans="2:4" ht="15.75">
      <c r="B43" s="71" t="s">
        <v>151</v>
      </c>
      <c r="C43" s="71"/>
      <c r="D43" s="71"/>
    </row>
    <row r="44" spans="2:4" ht="15.75">
      <c r="B44" s="123" t="s">
        <v>152</v>
      </c>
      <c r="C44" s="123"/>
      <c r="D44" s="71"/>
    </row>
    <row r="45" spans="2:4" ht="15.75" customHeight="1">
      <c r="B45" s="158" t="s">
        <v>153</v>
      </c>
      <c r="C45" s="158"/>
      <c r="D45" s="158"/>
    </row>
    <row r="48" ht="15.75">
      <c r="B48" t="s">
        <v>168</v>
      </c>
    </row>
    <row r="49" ht="15.75">
      <c r="B49" t="s">
        <v>169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0.74" header="0.5" footer="0.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C10">
      <selection activeCell="C39" sqref="C39"/>
    </sheetView>
  </sheetViews>
  <sheetFormatPr defaultColWidth="9.00390625" defaultRowHeight="15.75"/>
  <cols>
    <col min="1" max="1" width="11.875" style="0" customWidth="1"/>
    <col min="2" max="2" width="10.37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20" t="s">
        <v>165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.75" customHeight="1">
      <c r="A2" s="221" t="s">
        <v>166</v>
      </c>
      <c r="B2" s="223" t="s">
        <v>77</v>
      </c>
      <c r="C2" s="223" t="s">
        <v>78</v>
      </c>
      <c r="D2" s="223"/>
      <c r="E2" s="223"/>
      <c r="F2" s="223"/>
      <c r="G2" s="223"/>
      <c r="H2" s="223"/>
      <c r="I2" s="223"/>
      <c r="J2" s="224" t="s">
        <v>79</v>
      </c>
      <c r="K2" s="224"/>
      <c r="L2" s="224"/>
      <c r="M2" s="225" t="s">
        <v>80</v>
      </c>
      <c r="N2" s="223" t="s">
        <v>81</v>
      </c>
      <c r="O2" s="223"/>
      <c r="P2" s="223"/>
      <c r="Q2" s="223"/>
      <c r="R2" s="223"/>
      <c r="S2" s="227" t="s">
        <v>159</v>
      </c>
    </row>
    <row r="3" spans="1:19" ht="15.75" customHeight="1">
      <c r="A3" s="222"/>
      <c r="B3" s="211"/>
      <c r="C3" s="215" t="s">
        <v>82</v>
      </c>
      <c r="D3" s="216"/>
      <c r="E3" s="217"/>
      <c r="F3" s="215" t="s">
        <v>83</v>
      </c>
      <c r="G3" s="216"/>
      <c r="H3" s="217"/>
      <c r="I3" s="212" t="s">
        <v>84</v>
      </c>
      <c r="J3" s="213" t="s">
        <v>85</v>
      </c>
      <c r="K3" s="218" t="s">
        <v>86</v>
      </c>
      <c r="L3" s="213" t="s">
        <v>87</v>
      </c>
      <c r="M3" s="226"/>
      <c r="N3" s="212" t="s">
        <v>88</v>
      </c>
      <c r="O3" s="211" t="s">
        <v>89</v>
      </c>
      <c r="P3" s="211" t="s">
        <v>90</v>
      </c>
      <c r="Q3" s="211" t="s">
        <v>91</v>
      </c>
      <c r="R3" s="211" t="s">
        <v>92</v>
      </c>
      <c r="S3" s="228"/>
    </row>
    <row r="4" spans="1:19" ht="47.25" customHeight="1">
      <c r="A4" s="222"/>
      <c r="B4" s="211"/>
      <c r="C4" s="126" t="s">
        <v>93</v>
      </c>
      <c r="D4" s="125" t="s">
        <v>91</v>
      </c>
      <c r="E4" s="125" t="s">
        <v>92</v>
      </c>
      <c r="F4" s="126" t="s">
        <v>93</v>
      </c>
      <c r="G4" s="125" t="s">
        <v>91</v>
      </c>
      <c r="H4" s="125" t="s">
        <v>92</v>
      </c>
      <c r="I4" s="212"/>
      <c r="J4" s="214"/>
      <c r="K4" s="219"/>
      <c r="L4" s="214"/>
      <c r="M4" s="219"/>
      <c r="N4" s="211"/>
      <c r="O4" s="211"/>
      <c r="P4" s="211"/>
      <c r="Q4" s="211"/>
      <c r="R4" s="211"/>
      <c r="S4" s="228"/>
    </row>
    <row r="5" spans="1:19" ht="31.5">
      <c r="A5" s="124">
        <v>1</v>
      </c>
      <c r="B5" s="125">
        <v>2</v>
      </c>
      <c r="C5" s="126">
        <v>3</v>
      </c>
      <c r="D5" s="125">
        <v>4</v>
      </c>
      <c r="E5" s="125" t="s">
        <v>94</v>
      </c>
      <c r="F5" s="126">
        <v>6</v>
      </c>
      <c r="G5" s="125">
        <v>7</v>
      </c>
      <c r="H5" s="125" t="s">
        <v>95</v>
      </c>
      <c r="I5" s="126" t="s">
        <v>96</v>
      </c>
      <c r="J5" s="125">
        <v>10</v>
      </c>
      <c r="K5" s="125">
        <v>11</v>
      </c>
      <c r="L5" s="126">
        <v>12</v>
      </c>
      <c r="M5" s="126" t="s">
        <v>97</v>
      </c>
      <c r="N5" s="125">
        <v>14</v>
      </c>
      <c r="O5" s="126">
        <v>15</v>
      </c>
      <c r="P5" s="125">
        <v>16</v>
      </c>
      <c r="Q5" s="125">
        <v>17</v>
      </c>
      <c r="R5" s="126" t="s">
        <v>98</v>
      </c>
      <c r="S5" s="127" t="s">
        <v>99</v>
      </c>
    </row>
    <row r="6" spans="1:19" ht="15.75">
      <c r="A6" s="128">
        <v>-56544.25</v>
      </c>
      <c r="B6" s="129" t="s">
        <v>167</v>
      </c>
      <c r="C6" s="130">
        <v>174713.54</v>
      </c>
      <c r="D6" s="130">
        <v>11845.44</v>
      </c>
      <c r="E6" s="130">
        <f>C6+D6</f>
        <v>186558.98</v>
      </c>
      <c r="F6" s="130">
        <v>195011.2</v>
      </c>
      <c r="G6" s="130">
        <v>13032.48</v>
      </c>
      <c r="H6" s="130">
        <f>SUM(F6:G6)</f>
        <v>208043.68000000002</v>
      </c>
      <c r="I6" s="131">
        <f>E6-H6</f>
        <v>-21484.70000000001</v>
      </c>
      <c r="J6" s="130">
        <v>0</v>
      </c>
      <c r="K6" s="130">
        <v>0</v>
      </c>
      <c r="L6" s="130">
        <v>0</v>
      </c>
      <c r="M6" s="130">
        <f>H6+J6+K6+L6</f>
        <v>208043.68000000002</v>
      </c>
      <c r="N6" s="130">
        <f>'отчет 2012 новый'!J29</f>
        <v>18060.67</v>
      </c>
      <c r="O6" s="130">
        <f>'отчет 2012 новый'!J31-'отчет 2012 новый'!J29</f>
        <v>141587.38</v>
      </c>
      <c r="P6" s="130">
        <f>'отчет 2012 новый'!J35</f>
        <v>40943.6</v>
      </c>
      <c r="Q6" s="131">
        <f>'отчет 2012 новый'!J37</f>
        <v>0</v>
      </c>
      <c r="R6" s="130">
        <f>SUM(N6:Q6)</f>
        <v>200591.65</v>
      </c>
      <c r="S6" s="132">
        <f>M6-R6</f>
        <v>7452.030000000028</v>
      </c>
    </row>
    <row r="7" spans="1:19" ht="15.75">
      <c r="A7" s="128"/>
      <c r="B7" s="129"/>
      <c r="C7" s="130"/>
      <c r="D7" s="130"/>
      <c r="E7" s="130">
        <f>SUM(C7:D7)</f>
        <v>0</v>
      </c>
      <c r="F7" s="130"/>
      <c r="G7" s="130"/>
      <c r="H7" s="130">
        <f>SUM(F7:G7)</f>
        <v>0</v>
      </c>
      <c r="I7" s="131">
        <f>E7-H7</f>
        <v>0</v>
      </c>
      <c r="J7" s="130">
        <v>0</v>
      </c>
      <c r="K7" s="130">
        <v>0</v>
      </c>
      <c r="L7" s="130">
        <v>0</v>
      </c>
      <c r="M7" s="130">
        <f>H7+J7+K7+L7</f>
        <v>0</v>
      </c>
      <c r="N7" s="130"/>
      <c r="O7" s="130"/>
      <c r="P7" s="130"/>
      <c r="Q7" s="131">
        <v>0</v>
      </c>
      <c r="R7" s="130">
        <f>SUM(N7:Q7)</f>
        <v>0</v>
      </c>
      <c r="S7" s="132">
        <f>M7-R7</f>
        <v>0</v>
      </c>
    </row>
    <row r="8" spans="1:19" ht="15.75">
      <c r="A8" s="128"/>
      <c r="B8" s="129"/>
      <c r="C8" s="130"/>
      <c r="D8" s="130"/>
      <c r="E8" s="130">
        <f>SUM(C8:D8)</f>
        <v>0</v>
      </c>
      <c r="F8" s="130"/>
      <c r="G8" s="130"/>
      <c r="H8" s="130">
        <f>SUM(F8:G8)</f>
        <v>0</v>
      </c>
      <c r="I8" s="131">
        <f>E8-H8</f>
        <v>0</v>
      </c>
      <c r="J8" s="130">
        <v>0</v>
      </c>
      <c r="K8" s="130">
        <v>0</v>
      </c>
      <c r="L8" s="130">
        <v>0</v>
      </c>
      <c r="M8" s="130">
        <f>H8+J8+K8+L8</f>
        <v>0</v>
      </c>
      <c r="N8" s="130"/>
      <c r="O8" s="130"/>
      <c r="P8" s="130"/>
      <c r="Q8" s="131">
        <v>0</v>
      </c>
      <c r="R8" s="130">
        <f>SUM(N8:Q8)</f>
        <v>0</v>
      </c>
      <c r="S8" s="132">
        <f>M8-R8</f>
        <v>0</v>
      </c>
    </row>
    <row r="9" spans="1:19" ht="15.75">
      <c r="A9" s="128"/>
      <c r="B9" s="129"/>
      <c r="C9" s="130"/>
      <c r="D9" s="130"/>
      <c r="E9" s="130">
        <f>SUM(C9:D9)</f>
        <v>0</v>
      </c>
      <c r="F9" s="130"/>
      <c r="G9" s="130"/>
      <c r="H9" s="130">
        <f>SUM(F9:G9)</f>
        <v>0</v>
      </c>
      <c r="I9" s="131">
        <f>E9-H9</f>
        <v>0</v>
      </c>
      <c r="J9" s="130">
        <f>'[1]отчет 2011'!I12</f>
        <v>0</v>
      </c>
      <c r="K9" s="130">
        <f>'[1]отчет 2011'!I13</f>
        <v>0</v>
      </c>
      <c r="L9" s="130">
        <f>'[1]отчет 2011'!H13</f>
        <v>0</v>
      </c>
      <c r="M9" s="130">
        <f>H9+J9+K9+L9</f>
        <v>0</v>
      </c>
      <c r="N9" s="130"/>
      <c r="O9" s="130"/>
      <c r="P9" s="130"/>
      <c r="Q9" s="131">
        <v>0</v>
      </c>
      <c r="R9" s="130">
        <f>SUM(N9:Q9)</f>
        <v>0</v>
      </c>
      <c r="S9" s="132">
        <f>M9-R9</f>
        <v>0</v>
      </c>
    </row>
    <row r="10" spans="1:19" ht="15.75">
      <c r="A10" s="128"/>
      <c r="B10" s="129"/>
      <c r="C10" s="130"/>
      <c r="D10" s="130"/>
      <c r="E10" s="130">
        <f>SUM(C10:D10)</f>
        <v>0</v>
      </c>
      <c r="F10" s="130"/>
      <c r="G10" s="130"/>
      <c r="H10" s="130">
        <f>SUM(F10:G10)</f>
        <v>0</v>
      </c>
      <c r="I10" s="131">
        <f>E10-H10</f>
        <v>0</v>
      </c>
      <c r="J10" s="130">
        <v>0</v>
      </c>
      <c r="K10" s="130">
        <v>0</v>
      </c>
      <c r="L10" s="130">
        <v>0</v>
      </c>
      <c r="M10" s="130">
        <f>H10+J10+K10+L10</f>
        <v>0</v>
      </c>
      <c r="N10" s="130"/>
      <c r="O10" s="130"/>
      <c r="P10" s="130"/>
      <c r="Q10" s="131">
        <v>0</v>
      </c>
      <c r="R10" s="130">
        <f>SUM(N10:Q10)</f>
        <v>0</v>
      </c>
      <c r="S10" s="132">
        <f>M10-R10</f>
        <v>0</v>
      </c>
    </row>
    <row r="11" spans="1:19" ht="16.5" thickBot="1">
      <c r="A11" s="133"/>
      <c r="B11" s="134" t="s">
        <v>160</v>
      </c>
      <c r="C11" s="135">
        <f aca="true" t="shared" si="0" ref="C11:R11">SUM(C6:C10)</f>
        <v>174713.54</v>
      </c>
      <c r="D11" s="135">
        <f t="shared" si="0"/>
        <v>11845.44</v>
      </c>
      <c r="E11" s="135">
        <f t="shared" si="0"/>
        <v>186558.98</v>
      </c>
      <c r="F11" s="135">
        <f t="shared" si="0"/>
        <v>195011.2</v>
      </c>
      <c r="G11" s="135">
        <f t="shared" si="0"/>
        <v>13032.48</v>
      </c>
      <c r="H11" s="135">
        <f t="shared" si="0"/>
        <v>208043.68000000002</v>
      </c>
      <c r="I11" s="135">
        <f t="shared" si="0"/>
        <v>-21484.70000000001</v>
      </c>
      <c r="J11" s="135">
        <f t="shared" si="0"/>
        <v>0</v>
      </c>
      <c r="K11" s="135">
        <f t="shared" si="0"/>
        <v>0</v>
      </c>
      <c r="L11" s="135">
        <f t="shared" si="0"/>
        <v>0</v>
      </c>
      <c r="M11" s="135">
        <f t="shared" si="0"/>
        <v>208043.68000000002</v>
      </c>
      <c r="N11" s="135">
        <f t="shared" si="0"/>
        <v>18060.67</v>
      </c>
      <c r="O11" s="135">
        <f t="shared" si="0"/>
        <v>141587.38</v>
      </c>
      <c r="P11" s="135">
        <f t="shared" si="0"/>
        <v>40943.6</v>
      </c>
      <c r="Q11" s="135">
        <f t="shared" si="0"/>
        <v>0</v>
      </c>
      <c r="R11" s="135">
        <f t="shared" si="0"/>
        <v>200591.65</v>
      </c>
      <c r="S11" s="136">
        <f>A6+SUM(S6:S10)</f>
        <v>-49092.21999999997</v>
      </c>
    </row>
    <row r="12" spans="1:19" ht="15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16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9"/>
    </row>
    <row r="15" spans="1:19" ht="16.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8"/>
      <c r="Q15" s="138"/>
      <c r="R15" s="138"/>
      <c r="S15" s="138"/>
    </row>
    <row r="16" spans="1:19" ht="18.75">
      <c r="A16" s="140"/>
      <c r="B16" s="210" t="s">
        <v>161</v>
      </c>
      <c r="C16" s="210"/>
      <c r="D16" s="210"/>
      <c r="E16" s="210"/>
      <c r="F16" s="210" t="s">
        <v>162</v>
      </c>
      <c r="G16" s="210"/>
      <c r="H16" s="210"/>
      <c r="I16" s="21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8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5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8.75">
      <c r="A19" s="137"/>
      <c r="B19" s="141" t="s">
        <v>163</v>
      </c>
      <c r="C19" s="137"/>
      <c r="D19" s="137"/>
      <c r="E19" s="137"/>
      <c r="F19" s="210" t="s">
        <v>164</v>
      </c>
      <c r="G19" s="210"/>
      <c r="H19" s="210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3" ht="15.75">
      <c r="B23" t="s">
        <v>168</v>
      </c>
    </row>
    <row r="24" ht="15.75">
      <c r="B24" t="s">
        <v>169</v>
      </c>
    </row>
  </sheetData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  <mergeCell ref="K3:K4"/>
    <mergeCell ref="L3:L4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2013-02-27T03:12:53Z</cp:lastPrinted>
  <dcterms:created xsi:type="dcterms:W3CDTF">2009-08-26T03:25:10Z</dcterms:created>
  <dcterms:modified xsi:type="dcterms:W3CDTF">2013-05-14T04:32:27Z</dcterms:modified>
  <cp:category/>
  <cp:version/>
  <cp:contentType/>
  <cp:contentStatus/>
</cp:coreProperties>
</file>