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2012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<sst xmlns="http://schemas.openxmlformats.org/spreadsheetml/2006/main" count="465" uniqueCount="182">
  <si>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</si>
  <si>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</si>
  <si>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</si>
  <si>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</si>
  <si>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</si>
  <si>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</si>
  <si>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</si>
  <si>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</si>
  <si>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</si>
  <si>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</si>
  <si>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</si>
  <si>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</si>
  <si>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</si>
  <si>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</si>
  <si>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</si>
  <si>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</si>
  <si>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</si>
  <si>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</si>
  <si>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</si>
  <si>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</si>
  <si>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</si>
  <si>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</si>
  <si>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</si>
  <si>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</si>
  <si>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</si>
  <si>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</si>
  <si>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</si>
  <si>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</si>
  <si>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</si>
  <si>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</si>
  <si>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</si>
  <si>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</si>
  <si>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</si>
  <si>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</si>
  <si>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</si>
  <si>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</si>
  <si>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</si>
  <si>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</si>
  <si>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</si>
  <si>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</si>
  <si>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</si>
  <si>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Директор</t>
  </si>
  <si>
    <t>ООО "СЦ СОЖ"</t>
  </si>
  <si>
    <t>Н.Ф. Шестаева</t>
  </si>
  <si>
    <t xml:space="preserve"> Ленина, 130</t>
  </si>
  <si>
    <t>Адрес:</t>
  </si>
  <si>
    <t>1.</t>
  </si>
  <si>
    <t>2.</t>
  </si>
  <si>
    <t>кв.м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</si>
  <si>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</si>
  <si>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</si>
  <si>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</si>
  <si>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ожидаемй сбор на содержание и текущий ремонт общего имущества жилого дома</t>
  </si>
  <si>
    <t xml:space="preserve">    - ожидаемый сбор на капитальный ремонт</t>
  </si>
  <si>
    <t>2.1.</t>
  </si>
  <si>
    <t xml:space="preserve">Сбор, вывоз  бытового мусора, содержание  мусоропроводов </t>
  </si>
  <si>
    <t>по договору</t>
  </si>
  <si>
    <t>1 раз/неделю - подметание
1 раз/месяц 
влажная уборка</t>
  </si>
  <si>
    <t>2.2.</t>
  </si>
  <si>
    <t>2.3.</t>
  </si>
  <si>
    <t xml:space="preserve">Капитальный ремонт 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</si>
  <si>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</si>
  <si>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</si>
  <si>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</si>
  <si>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</si>
  <si>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</si>
  <si>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</si>
  <si>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</si>
  <si>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</si>
  <si>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</si>
  <si>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</si>
  <si>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</si>
  <si>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</si>
  <si>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</si>
  <si>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</si>
  <si>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</si>
  <si>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</si>
  <si>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</si>
  <si>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</si>
  <si>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</si>
  <si>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</si>
  <si>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</si>
  <si>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</si>
  <si>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</si>
  <si>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>пр. Ленина, 130</t>
  </si>
  <si>
    <t>Сбор, вывоз  бытового мусора, содержание  контейнерных
площадок</t>
  </si>
  <si>
    <t xml:space="preserve">Принято: Старший по дому                                                  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</si>
  <si>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</si>
  <si>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</si>
  <si>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</si>
  <si>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</si>
  <si>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</si>
  <si>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</si>
  <si>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</si>
  <si>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</si>
  <si>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</si>
  <si>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</si>
  <si>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 xml:space="preserve">                                                                   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</si>
  <si>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</si>
  <si>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</si>
  <si>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</si>
  <si>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</si>
  <si>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</si>
  <si>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</si>
  <si>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</si>
  <si>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</si>
  <si>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</si>
  <si>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</si>
  <si>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</si>
  <si>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</si>
  <si>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</si>
  <si>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 xml:space="preserve"> - прочие доходы </t>
  </si>
  <si>
    <t>ОТЧЕТ
за  2011 г. о выполнении условий  договора управления МКД № 265/7 от 28.03.2008 г., заключенного между ООО "СЦ СОЖ" и собственниками многоквартирного дома
по адресу:  пр. Ленина, 130</t>
  </si>
  <si>
    <t xml:space="preserve">                    Представитель собственников  - старший по дому ________________, с одной стороны и Общество с Ограниченной Ответственностью "Сервис- Центр СОЖ" в лице директора Шестаевой Н.Ф., действующего на основании Устава, с другой стороны, составили настоящий отчет  о выполненных работах  в 2011 году.  </t>
  </si>
  <si>
    <t xml:space="preserve">Финансовый результат за 2011г. (+ экономия,- перерасход)                                                      </t>
  </si>
  <si>
    <t>Справочно: индекс увеличения тарифа по году 103%:</t>
  </si>
  <si>
    <t>Смета доходов и расходов  на  2012 г.
согласно  договора управления МКД № 265/7 от 28.03.08 г., заключенного между ООО "Сервис-Центр СОЖ" и собственниками многоквартирного дома
по адресу:  пр. Ленина, 130</t>
  </si>
  <si>
    <t>В подъезде № 2 (кв. 40-103) с 1 апреля 2010г уборка не производится по заявлению жителей.</t>
  </si>
  <si>
    <t>- с 1 января 2012г. Тариф остается на уровне 2011г.-14,49 руб.</t>
  </si>
  <si>
    <t>- с 1 июля 2012г. к Тарифу применен индекс 106%.- 15,36 руб.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</si>
  <si>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</si>
  <si>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</si>
  <si>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</si>
  <si>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</si>
  <si>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</si>
  <si>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</si>
  <si>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>* в случае уточнения площадей возможно изменение стоимости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</si>
  <si>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</si>
  <si>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</si>
  <si>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</si>
  <si>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</si>
  <si>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>подметание асфальта -   1 раз/неделю,                
подбор мусора - ежедневно</t>
  </si>
  <si>
    <t>242,  13 нежилых помещений</t>
  </si>
  <si>
    <t>Тариф 
на 
1 кв.м.  декабрь 2012г.
руб.</t>
  </si>
  <si>
    <t>- с 1 августа 2012г по заявлению жителей уборка подъезда №1 (1-39 кв) не производится</t>
  </si>
  <si>
    <t>- с 1 апреля 2010г по заявлению жителей уборка подъезда №2 (40-103 кв) не производится</t>
  </si>
  <si>
    <t>Стоимость работ
 за декабрь 2012г.                      руб.</t>
  </si>
  <si>
    <t>5=гр.4*Sдома*1мес.</t>
  </si>
  <si>
    <t>Тариф с 1 декабря 2012 г. - 15,36 руб., капитальный ремонт - 0,80 руб.</t>
  </si>
  <si>
    <t>Сбор, вывоз  бытового мусора, содержание  контейнерных площадок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</si>
  <si>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</si>
  <si>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</si>
  <si>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</si>
  <si>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</si>
  <si>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</si>
  <si>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 xml:space="preserve"> - ожидаемый сбор на содержание и текущий ремонт общего имущества жилого дома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</si>
  <si>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</si>
  <si>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</si>
  <si>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</si>
  <si>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Обслуживание  бойлеров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</si>
  <si>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</si>
  <si>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</si>
  <si>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</si>
  <si>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Всего затрат: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</si>
  <si>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</si>
  <si>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</si>
  <si>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</si>
  <si>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</si>
  <si>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58/7 от 22.11.12 г., заключенного между ООО "СЦ СОЖ" и собственниками многоквартирного дома
по адресу:  пр. Ленина, 130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</si>
  <si>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01.12.12г. по 31.12.12 г.  </t>
  </si>
  <si>
    <t>Тариф 01.12.12г-31.12.12г.</t>
  </si>
  <si>
    <t>Сумма с 01.12.12г.-31.12.12г.,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</si>
  <si>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</si>
  <si>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</si>
  <si>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01.12.12 - 31.12.12г.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</si>
  <si>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</si>
  <si>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</si>
  <si>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</si>
  <si>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</si>
  <si>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</si>
  <si>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</si>
  <si>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>Ленина. 130</t>
  </si>
  <si>
    <t>Сальдо
 на 01.12
+экономия
-перерасход</t>
  </si>
  <si>
    <t>результат
 за год
(+эконом., 
-перерасх.)</t>
  </si>
  <si>
    <t>с 01.12.12г.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</si>
  <si>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</si>
  <si>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</si>
  <si>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</si>
  <si>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</si>
  <si>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</si>
  <si>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с 01.12.12г. по 31.12.12г. о выполнении условий договора  на оказание услуг МКД 
№ 58/7 от 22.11.12 г., заключенного между ООО "СЦ СОЖ" и собственниками многоквартирного дома
по адресу:  пр. Ленина. 130</t>
  </si>
  <si>
    <t>ОТЧЕТ
по  договору оказания услуг МКД 
№ 58/7 от 22.11.12 г., заключенного между ООО "Сервис-Центр СОЖ" и собственниками многоквартирного дома
по адресу:  пр. Ленина, 130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</si>
</sst>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171" fontId="11" fillId="0" borderId="16" xfId="0" applyNumberFormat="1" applyFont="1" applyBorder="1" applyAlignment="1">
      <alignment horizontal="center" vertical="center" wrapText="1"/>
    </xf>
    <xf numFmtId="171" fontId="11" fillId="0" borderId="1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4" fontId="0" fillId="2" borderId="6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J47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50390625" style="0" customWidth="1"/>
    <col min="6" max="6" width="22.50390625" style="0" hidden="1" customWidth="1"/>
    <col min="7" max="7" width="6.7539062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93.75" customHeight="1">
      <c r="A1" s="197" t="s">
        <v>112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54" customHeight="1">
      <c r="A2" s="167" t="s">
        <v>113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9" ht="18.75">
      <c r="A3" s="1" t="s">
        <v>45</v>
      </c>
      <c r="B3" s="1" t="s">
        <v>84</v>
      </c>
      <c r="C3" s="2"/>
      <c r="D3" s="2" t="s">
        <v>0</v>
      </c>
      <c r="E3" s="4">
        <v>19551.2</v>
      </c>
      <c r="F3" s="2"/>
      <c r="I3" s="48">
        <v>1761.6</v>
      </c>
    </row>
    <row r="4" spans="2:9" ht="15.75">
      <c r="B4" s="49" t="s">
        <v>1</v>
      </c>
      <c r="C4" s="17">
        <v>9</v>
      </c>
      <c r="D4" s="2" t="s">
        <v>2</v>
      </c>
      <c r="E4" s="4">
        <v>247</v>
      </c>
      <c r="F4" s="2"/>
      <c r="I4" t="s">
        <v>48</v>
      </c>
    </row>
    <row r="5" spans="2:9" ht="15.75">
      <c r="B5" s="49" t="s">
        <v>3</v>
      </c>
      <c r="C5" s="4">
        <v>5</v>
      </c>
      <c r="D5" s="2" t="s">
        <v>4</v>
      </c>
      <c r="E5" s="2" t="s">
        <v>16</v>
      </c>
      <c r="F5" s="2"/>
      <c r="G5" s="2"/>
      <c r="I5" s="2" t="s">
        <v>61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62</v>
      </c>
    </row>
    <row r="7" spans="1:10" ht="39" customHeight="1">
      <c r="A7" s="12" t="s">
        <v>36</v>
      </c>
      <c r="B7" s="168" t="s">
        <v>63</v>
      </c>
      <c r="C7" s="169"/>
      <c r="D7" s="163"/>
      <c r="E7" s="6" t="s">
        <v>6</v>
      </c>
      <c r="F7" s="6" t="s">
        <v>7</v>
      </c>
      <c r="G7" s="20" t="s">
        <v>21</v>
      </c>
      <c r="H7" s="164" t="s">
        <v>64</v>
      </c>
      <c r="I7" s="165"/>
      <c r="J7" s="166"/>
    </row>
    <row r="8" spans="1:10" ht="15.75">
      <c r="A8" s="13">
        <v>1</v>
      </c>
      <c r="B8" s="194"/>
      <c r="C8" s="195"/>
      <c r="D8" s="195"/>
      <c r="E8" s="195"/>
      <c r="F8" s="196"/>
      <c r="G8" s="51"/>
      <c r="H8" s="52" t="s">
        <v>65</v>
      </c>
      <c r="I8" s="53" t="s">
        <v>66</v>
      </c>
      <c r="J8" s="53" t="s">
        <v>67</v>
      </c>
    </row>
    <row r="9" spans="1:10" ht="15.75">
      <c r="A9" s="13"/>
      <c r="B9" s="194" t="s">
        <v>68</v>
      </c>
      <c r="C9" s="195"/>
      <c r="D9" s="195"/>
      <c r="E9" s="195"/>
      <c r="F9" s="196"/>
      <c r="G9" s="36"/>
      <c r="H9" s="36"/>
      <c r="I9" s="25"/>
      <c r="J9" s="53"/>
    </row>
    <row r="10" spans="1:10" ht="15.75">
      <c r="A10" s="54"/>
      <c r="B10" s="191" t="s">
        <v>69</v>
      </c>
      <c r="C10" s="191"/>
      <c r="D10" s="191"/>
      <c r="E10" s="191"/>
      <c r="F10" s="191"/>
      <c r="G10" s="8"/>
      <c r="H10" s="55">
        <v>2303285.82</v>
      </c>
      <c r="I10" s="33"/>
      <c r="J10" s="56">
        <f>H10+I10</f>
        <v>2303285.82</v>
      </c>
    </row>
    <row r="11" spans="1:10" ht="15.75">
      <c r="A11" s="54"/>
      <c r="B11" s="191" t="s">
        <v>70</v>
      </c>
      <c r="C11" s="191"/>
      <c r="D11" s="191"/>
      <c r="E11" s="191"/>
      <c r="F11" s="191"/>
      <c r="G11" s="8"/>
      <c r="H11" s="9">
        <v>116562.98</v>
      </c>
      <c r="I11" s="33"/>
      <c r="J11" s="56">
        <f>H11+I11</f>
        <v>116562.98</v>
      </c>
    </row>
    <row r="12" spans="1:10" ht="15.75">
      <c r="A12" s="13"/>
      <c r="B12" s="191" t="s">
        <v>71</v>
      </c>
      <c r="C12" s="191"/>
      <c r="D12" s="191"/>
      <c r="E12" s="191"/>
      <c r="F12" s="191"/>
      <c r="G12" s="8"/>
      <c r="H12" s="55"/>
      <c r="I12" s="33">
        <v>400013.51</v>
      </c>
      <c r="J12" s="56">
        <f>H12+I12</f>
        <v>400013.51</v>
      </c>
    </row>
    <row r="13" spans="1:10" ht="15.75">
      <c r="A13" s="13"/>
      <c r="B13" s="191" t="s">
        <v>111</v>
      </c>
      <c r="C13" s="191"/>
      <c r="D13" s="191"/>
      <c r="E13" s="191"/>
      <c r="F13" s="191"/>
      <c r="G13" s="8"/>
      <c r="H13" s="55"/>
      <c r="I13" s="57">
        <v>0</v>
      </c>
      <c r="J13" s="56">
        <f>H13+I13</f>
        <v>0</v>
      </c>
    </row>
    <row r="14" spans="1:10" ht="15.75">
      <c r="A14" s="13"/>
      <c r="B14" s="192" t="s">
        <v>72</v>
      </c>
      <c r="C14" s="192"/>
      <c r="D14" s="192"/>
      <c r="E14" s="192"/>
      <c r="F14" s="192"/>
      <c r="G14" s="8"/>
      <c r="H14" s="58">
        <f>SUM(H10:H12)</f>
        <v>2419848.8</v>
      </c>
      <c r="I14" s="59">
        <f>SUM(I10:I12)</f>
        <v>400013.51</v>
      </c>
      <c r="J14" s="58">
        <f>SUM(J10:J12)</f>
        <v>2819862.3099999996</v>
      </c>
    </row>
    <row r="15" spans="1:10" ht="18.75">
      <c r="A15" s="13">
        <v>2</v>
      </c>
      <c r="B15" s="193" t="s">
        <v>37</v>
      </c>
      <c r="C15" s="193"/>
      <c r="D15" s="193"/>
      <c r="E15" s="193"/>
      <c r="F15" s="193"/>
      <c r="G15" s="8"/>
      <c r="H15" s="55"/>
      <c r="I15" s="33"/>
      <c r="J15" s="22"/>
    </row>
    <row r="16" spans="1:10" ht="15.75">
      <c r="A16" s="13" t="s">
        <v>54</v>
      </c>
      <c r="B16" s="10" t="s">
        <v>38</v>
      </c>
      <c r="C16" s="10"/>
      <c r="D16" s="10"/>
      <c r="E16" s="10"/>
      <c r="F16" s="5"/>
      <c r="G16" s="52"/>
      <c r="H16" s="52"/>
      <c r="I16" s="50"/>
      <c r="J16" s="53"/>
    </row>
    <row r="17" spans="1:10" ht="33" customHeight="1">
      <c r="A17" s="16"/>
      <c r="B17" s="190" t="s">
        <v>85</v>
      </c>
      <c r="C17" s="190"/>
      <c r="D17" s="190"/>
      <c r="E17" s="60" t="s">
        <v>31</v>
      </c>
      <c r="F17" s="38" t="s">
        <v>23</v>
      </c>
      <c r="G17" s="39">
        <v>1.22</v>
      </c>
      <c r="H17" s="61">
        <f>ROUND(G17*$E$3*12,2)</f>
        <v>286229.57</v>
      </c>
      <c r="I17" s="62">
        <f>$I$12*0.08</f>
        <v>32001.0808</v>
      </c>
      <c r="J17" s="63">
        <f>SUM(H17:I17)</f>
        <v>318230.6508</v>
      </c>
    </row>
    <row r="18" spans="1:10" ht="36" customHeight="1">
      <c r="A18" s="13"/>
      <c r="B18" s="187" t="s">
        <v>17</v>
      </c>
      <c r="C18" s="187"/>
      <c r="D18" s="187"/>
      <c r="E18" s="60" t="s">
        <v>31</v>
      </c>
      <c r="F18" s="38" t="s">
        <v>18</v>
      </c>
      <c r="G18" s="39">
        <v>0.28</v>
      </c>
      <c r="H18" s="61">
        <f>ROUND(G18*$E$3*12,2)</f>
        <v>65692.03</v>
      </c>
      <c r="I18" s="62">
        <f>$I$12*0.02</f>
        <v>8000.2702</v>
      </c>
      <c r="J18" s="63">
        <f aca="true" t="shared" si="0" ref="J18:J38">SUM(H18:I18)</f>
        <v>73692.3002</v>
      </c>
    </row>
    <row r="19" spans="1:10" ht="20.25" customHeight="1">
      <c r="A19" s="13"/>
      <c r="B19" s="189" t="s">
        <v>22</v>
      </c>
      <c r="C19" s="189"/>
      <c r="D19" s="189"/>
      <c r="E19" s="64" t="s">
        <v>73</v>
      </c>
      <c r="F19" s="40" t="s">
        <v>19</v>
      </c>
      <c r="G19" s="39">
        <v>0.99</v>
      </c>
      <c r="H19" s="61">
        <f>J19-I19</f>
        <v>149516.2843</v>
      </c>
      <c r="I19" s="62">
        <f>$I$12*0.07</f>
        <v>28000.945700000004</v>
      </c>
      <c r="J19" s="65">
        <v>177517.23</v>
      </c>
    </row>
    <row r="20" spans="1:10" ht="20.25" customHeight="1">
      <c r="A20" s="16"/>
      <c r="B20" s="190" t="s">
        <v>30</v>
      </c>
      <c r="C20" s="190"/>
      <c r="D20" s="190"/>
      <c r="E20" s="66" t="s">
        <v>9</v>
      </c>
      <c r="F20" s="41" t="s">
        <v>10</v>
      </c>
      <c r="G20" s="39">
        <v>0.51</v>
      </c>
      <c r="H20" s="61">
        <f>ROUND(G20*$E$3*12,2)</f>
        <v>119653.34</v>
      </c>
      <c r="I20" s="62">
        <f>$I$12*0.04</f>
        <v>16000.5404</v>
      </c>
      <c r="J20" s="63">
        <f t="shared" si="0"/>
        <v>135653.8804</v>
      </c>
    </row>
    <row r="21" spans="1:10" ht="44.25" customHeight="1">
      <c r="A21" s="13"/>
      <c r="B21" s="189" t="s">
        <v>26</v>
      </c>
      <c r="C21" s="189"/>
      <c r="D21" s="189"/>
      <c r="E21" s="64" t="s">
        <v>74</v>
      </c>
      <c r="F21" s="40" t="s">
        <v>24</v>
      </c>
      <c r="G21" s="39">
        <v>0.12</v>
      </c>
      <c r="H21" s="61">
        <f>J21-I21</f>
        <v>9729.3349</v>
      </c>
      <c r="I21" s="62">
        <f>$I$12*0.01</f>
        <v>4000.1351</v>
      </c>
      <c r="J21" s="65">
        <v>13729.47</v>
      </c>
    </row>
    <row r="22" spans="1:10" ht="20.25" customHeight="1">
      <c r="A22" s="16"/>
      <c r="B22" s="189" t="s">
        <v>11</v>
      </c>
      <c r="C22" s="189"/>
      <c r="D22" s="189"/>
      <c r="E22" s="64" t="s">
        <v>9</v>
      </c>
      <c r="F22" s="40" t="s">
        <v>12</v>
      </c>
      <c r="G22" s="39">
        <v>2.22</v>
      </c>
      <c r="H22" s="61">
        <f>J22-I22</f>
        <v>460841.9415000001</v>
      </c>
      <c r="I22" s="62">
        <f>$I$12*0.15</f>
        <v>60002.0265</v>
      </c>
      <c r="J22" s="65">
        <f>G22*E3*12</f>
        <v>520843.96800000005</v>
      </c>
    </row>
    <row r="23" spans="1:10" ht="31.5" customHeight="1">
      <c r="A23" s="16"/>
      <c r="B23" s="189" t="s">
        <v>25</v>
      </c>
      <c r="C23" s="186"/>
      <c r="D23" s="186"/>
      <c r="E23" s="67" t="s">
        <v>13</v>
      </c>
      <c r="F23" s="35" t="s">
        <v>14</v>
      </c>
      <c r="G23" s="39">
        <v>0.05</v>
      </c>
      <c r="H23" s="61">
        <f>J23-I23</f>
        <v>13593.52947</v>
      </c>
      <c r="I23" s="62">
        <f>$I$12*0.003</f>
        <v>1200.04053</v>
      </c>
      <c r="J23" s="65">
        <v>14793.57</v>
      </c>
    </row>
    <row r="24" spans="1:10" ht="28.5" customHeight="1">
      <c r="A24" s="13"/>
      <c r="B24" s="189" t="s">
        <v>40</v>
      </c>
      <c r="C24" s="189"/>
      <c r="D24" s="189"/>
      <c r="E24" s="60" t="s">
        <v>33</v>
      </c>
      <c r="F24" s="68" t="s">
        <v>75</v>
      </c>
      <c r="G24" s="39">
        <v>2.15</v>
      </c>
      <c r="H24" s="61">
        <f aca="true" t="shared" si="1" ref="H24:H29">ROUND(G24*$E$3*12,2)</f>
        <v>504420.96</v>
      </c>
      <c r="I24" s="62">
        <f>$I$12*0.19</f>
        <v>76002.5669</v>
      </c>
      <c r="J24" s="63">
        <f t="shared" si="0"/>
        <v>580423.5269</v>
      </c>
    </row>
    <row r="25" spans="1:10" ht="35.25" customHeight="1">
      <c r="A25" s="13"/>
      <c r="B25" s="187" t="s">
        <v>15</v>
      </c>
      <c r="C25" s="187"/>
      <c r="D25" s="187"/>
      <c r="E25" s="60" t="s">
        <v>33</v>
      </c>
      <c r="F25" s="68" t="s">
        <v>75</v>
      </c>
      <c r="G25" s="39">
        <v>0.53</v>
      </c>
      <c r="H25" s="69">
        <f>ROUND(G25*((E3/5*4*12)),2)</f>
        <v>99476.51</v>
      </c>
      <c r="I25" s="62">
        <v>0</v>
      </c>
      <c r="J25" s="63">
        <f t="shared" si="0"/>
        <v>99476.51</v>
      </c>
    </row>
    <row r="26" spans="1:10" ht="30" customHeight="1">
      <c r="A26" s="13"/>
      <c r="B26" s="188" t="s">
        <v>34</v>
      </c>
      <c r="C26" s="177"/>
      <c r="D26" s="178"/>
      <c r="E26" s="60" t="s">
        <v>33</v>
      </c>
      <c r="F26" s="68" t="s">
        <v>75</v>
      </c>
      <c r="G26" s="70">
        <f>3.52-G27-G28</f>
        <v>3.52</v>
      </c>
      <c r="H26" s="69">
        <f t="shared" si="1"/>
        <v>825842.69</v>
      </c>
      <c r="I26" s="71">
        <f>$I$12*0.22</f>
        <v>88002.9722</v>
      </c>
      <c r="J26" s="63">
        <f t="shared" si="0"/>
        <v>913845.6621999999</v>
      </c>
    </row>
    <row r="27" spans="1:10" ht="26.25" customHeight="1">
      <c r="A27" s="16"/>
      <c r="B27" s="189" t="s">
        <v>76</v>
      </c>
      <c r="C27" s="189"/>
      <c r="D27" s="189"/>
      <c r="E27" s="60" t="s">
        <v>33</v>
      </c>
      <c r="F27" s="68" t="s">
        <v>75</v>
      </c>
      <c r="G27" s="70">
        <v>0</v>
      </c>
      <c r="H27" s="69">
        <f t="shared" si="1"/>
        <v>0</v>
      </c>
      <c r="I27" s="71">
        <f>$I$12*0</f>
        <v>0</v>
      </c>
      <c r="J27" s="63">
        <f t="shared" si="0"/>
        <v>0</v>
      </c>
    </row>
    <row r="28" spans="1:10" ht="28.5" customHeight="1">
      <c r="A28" s="13"/>
      <c r="B28" s="189" t="s">
        <v>77</v>
      </c>
      <c r="C28" s="189"/>
      <c r="D28" s="189"/>
      <c r="E28" s="64" t="s">
        <v>9</v>
      </c>
      <c r="F28" s="68" t="s">
        <v>75</v>
      </c>
      <c r="G28" s="70">
        <v>0</v>
      </c>
      <c r="H28" s="69">
        <f t="shared" si="1"/>
        <v>0</v>
      </c>
      <c r="I28" s="71">
        <f>$I$12*0</f>
        <v>0</v>
      </c>
      <c r="J28" s="63">
        <f t="shared" si="0"/>
        <v>0</v>
      </c>
    </row>
    <row r="29" spans="1:10" ht="27" customHeight="1">
      <c r="A29" s="13"/>
      <c r="B29" s="186" t="s">
        <v>20</v>
      </c>
      <c r="C29" s="186"/>
      <c r="D29" s="186"/>
      <c r="E29" s="64" t="s">
        <v>33</v>
      </c>
      <c r="F29" s="68" t="s">
        <v>75</v>
      </c>
      <c r="G29" s="35">
        <v>1.45</v>
      </c>
      <c r="H29" s="61">
        <f t="shared" si="1"/>
        <v>340190.88</v>
      </c>
      <c r="I29" s="62">
        <f>$I$12*0.1</f>
        <v>40001.351</v>
      </c>
      <c r="J29" s="63">
        <f t="shared" si="0"/>
        <v>380192.231</v>
      </c>
    </row>
    <row r="30" spans="1:10" ht="15.75">
      <c r="A30" s="13"/>
      <c r="B30" s="176"/>
      <c r="C30" s="177"/>
      <c r="D30" s="178"/>
      <c r="E30" s="64"/>
      <c r="F30" s="68"/>
      <c r="G30" s="35"/>
      <c r="H30" s="69"/>
      <c r="I30" s="57"/>
      <c r="J30" s="72"/>
    </row>
    <row r="31" spans="1:10" ht="15.75">
      <c r="A31" s="13"/>
      <c r="B31" s="176"/>
      <c r="C31" s="177"/>
      <c r="D31" s="178"/>
      <c r="E31" s="64"/>
      <c r="F31" s="68"/>
      <c r="G31" s="35"/>
      <c r="H31" s="69"/>
      <c r="I31" s="57"/>
      <c r="J31" s="72"/>
    </row>
    <row r="32" spans="1:10" ht="15.75">
      <c r="A32" s="13"/>
      <c r="B32" s="179" t="s">
        <v>29</v>
      </c>
      <c r="C32" s="179"/>
      <c r="D32" s="179"/>
      <c r="E32" s="7"/>
      <c r="F32" s="68"/>
      <c r="G32" s="11">
        <f>SUM(G17:G29)</f>
        <v>13.039999999999997</v>
      </c>
      <c r="H32" s="73">
        <f>SUM(H17:H31)</f>
        <v>2875187.07017</v>
      </c>
      <c r="I32" s="74">
        <f>SUM(I17:I31)</f>
        <v>353211.92933</v>
      </c>
      <c r="J32" s="73">
        <f>SUM(J17:J31)</f>
        <v>3228398.9995000004</v>
      </c>
    </row>
    <row r="33" spans="1:10" ht="21.75" customHeight="1">
      <c r="A33" s="13"/>
      <c r="B33" s="183" t="s">
        <v>78</v>
      </c>
      <c r="C33" s="184"/>
      <c r="D33" s="185"/>
      <c r="E33" s="64" t="s">
        <v>9</v>
      </c>
      <c r="F33" s="68"/>
      <c r="G33" s="35"/>
      <c r="H33" s="69"/>
      <c r="I33" s="57"/>
      <c r="J33" s="72"/>
    </row>
    <row r="34" spans="1:10" ht="27" customHeight="1">
      <c r="A34" s="13"/>
      <c r="B34" s="183" t="s">
        <v>79</v>
      </c>
      <c r="C34" s="184"/>
      <c r="D34" s="185"/>
      <c r="E34" s="60" t="s">
        <v>33</v>
      </c>
      <c r="F34" s="68"/>
      <c r="G34" s="35"/>
      <c r="H34" s="69"/>
      <c r="I34" s="57"/>
      <c r="J34" s="72"/>
    </row>
    <row r="35" spans="1:10" ht="15.75">
      <c r="A35" s="13"/>
      <c r="B35" s="84"/>
      <c r="C35" s="85"/>
      <c r="D35" s="85"/>
      <c r="E35" s="86"/>
      <c r="F35" s="68"/>
      <c r="G35" s="11"/>
      <c r="H35" s="73"/>
      <c r="I35" s="74"/>
      <c r="J35" s="73"/>
    </row>
    <row r="36" spans="1:10" ht="15" customHeight="1">
      <c r="A36" s="13" t="s">
        <v>58</v>
      </c>
      <c r="B36" s="180" t="s">
        <v>80</v>
      </c>
      <c r="C36" s="181"/>
      <c r="D36" s="181"/>
      <c r="E36" s="182"/>
      <c r="F36" s="68" t="s">
        <v>75</v>
      </c>
      <c r="G36" s="14">
        <f>H36/E3/12</f>
        <v>1.6556272760751256</v>
      </c>
      <c r="H36" s="18">
        <v>388434</v>
      </c>
      <c r="I36" s="75">
        <v>0</v>
      </c>
      <c r="J36" s="58">
        <f t="shared" si="0"/>
        <v>388434</v>
      </c>
    </row>
    <row r="37" spans="1:10" ht="14.25" customHeight="1">
      <c r="A37" s="15"/>
      <c r="B37" s="171" t="s">
        <v>39</v>
      </c>
      <c r="C37" s="171"/>
      <c r="D37" s="171"/>
      <c r="E37" s="171"/>
      <c r="F37" s="171"/>
      <c r="G37" s="11">
        <f>SUM(G32:G36)</f>
        <v>14.695627276075124</v>
      </c>
      <c r="H37" s="76">
        <f>SUM(H32:H36)</f>
        <v>3263621.07017</v>
      </c>
      <c r="I37" s="77">
        <f>SUM(I32:I36)</f>
        <v>353211.92933</v>
      </c>
      <c r="J37" s="76">
        <f>SUM(J32:J36)</f>
        <v>3616832.9995000004</v>
      </c>
    </row>
    <row r="38" spans="1:10" ht="15.75">
      <c r="A38" s="13" t="s">
        <v>59</v>
      </c>
      <c r="B38" s="170" t="s">
        <v>81</v>
      </c>
      <c r="C38" s="170"/>
      <c r="D38" s="170"/>
      <c r="E38" s="170"/>
      <c r="F38" s="170"/>
      <c r="G38" s="14"/>
      <c r="H38" s="78">
        <v>0</v>
      </c>
      <c r="I38" s="78">
        <v>0</v>
      </c>
      <c r="J38" s="79">
        <f t="shared" si="0"/>
        <v>0</v>
      </c>
    </row>
    <row r="39" spans="1:10" ht="15" customHeight="1">
      <c r="A39" s="15"/>
      <c r="B39" s="171" t="s">
        <v>82</v>
      </c>
      <c r="C39" s="171"/>
      <c r="D39" s="171"/>
      <c r="E39" s="171"/>
      <c r="F39" s="171"/>
      <c r="G39" s="11">
        <f>SUM(G37:G38)</f>
        <v>14.695627276075124</v>
      </c>
      <c r="H39" s="76">
        <f>SUM(H37:H38)</f>
        <v>3263621.07017</v>
      </c>
      <c r="I39" s="77">
        <f>SUM(I37:I38)</f>
        <v>353211.92933</v>
      </c>
      <c r="J39" s="76">
        <f>SUM(J37:J38)</f>
        <v>3616832.9995000004</v>
      </c>
    </row>
    <row r="40" spans="1:10" ht="15.75">
      <c r="A40" s="13">
        <v>3</v>
      </c>
      <c r="B40" s="172" t="s">
        <v>114</v>
      </c>
      <c r="C40" s="173"/>
      <c r="D40" s="173"/>
      <c r="E40" s="173"/>
      <c r="F40" s="173"/>
      <c r="G40" s="174"/>
      <c r="H40" s="80">
        <f>H14-H39</f>
        <v>-843772.2701700004</v>
      </c>
      <c r="I40" s="61">
        <f>I14-I39</f>
        <v>46801.580669999996</v>
      </c>
      <c r="J40" s="81">
        <f>J14-J39</f>
        <v>-796970.6895000008</v>
      </c>
    </row>
    <row r="41" spans="2:6" ht="15.75">
      <c r="B41" s="21"/>
      <c r="F41" s="21"/>
    </row>
    <row r="42" spans="2:10" ht="15.75">
      <c r="B42" s="21" t="s">
        <v>41</v>
      </c>
      <c r="F42" s="21"/>
      <c r="I42" s="82" t="s">
        <v>43</v>
      </c>
      <c r="J42" s="21"/>
    </row>
    <row r="43" spans="2:4" ht="15.75">
      <c r="B43" s="27"/>
      <c r="C43" s="27"/>
      <c r="D43" s="27"/>
    </row>
    <row r="44" spans="2:8" ht="15.75">
      <c r="B44" s="82" t="s">
        <v>86</v>
      </c>
      <c r="C44" s="82"/>
      <c r="D44" s="28"/>
      <c r="G44" s="21"/>
      <c r="H44" s="21"/>
    </row>
    <row r="45" spans="2:4" ht="15.75">
      <c r="B45" s="175" t="s">
        <v>83</v>
      </c>
      <c r="C45" s="175"/>
      <c r="D45" s="175"/>
    </row>
  </sheetData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25:D25"/>
    <mergeCell ref="B26:D26"/>
    <mergeCell ref="B27:D27"/>
    <mergeCell ref="B28:D28"/>
    <mergeCell ref="B31:D31"/>
    <mergeCell ref="B32:D32"/>
    <mergeCell ref="B36:E36"/>
    <mergeCell ref="B37:F37"/>
    <mergeCell ref="B33:D33"/>
    <mergeCell ref="B34:D34"/>
    <mergeCell ref="B38:F38"/>
    <mergeCell ref="B39:F39"/>
    <mergeCell ref="B40:G40"/>
    <mergeCell ref="B45:D45"/>
  </mergeCell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22.875" style="0" customWidth="1"/>
    <col min="5" max="5" width="27.125" style="0" customWidth="1"/>
    <col min="6" max="6" width="17.75390625" style="0" hidden="1" customWidth="1"/>
    <col min="7" max="7" width="7.125" style="0" bestFit="1" customWidth="1"/>
    <col min="8" max="8" width="11.375" style="0" bestFit="1" customWidth="1"/>
    <col min="9" max="9" width="9.875" style="0" bestFit="1" customWidth="1"/>
  </cols>
  <sheetData>
    <row r="1" spans="1:8" ht="85.5" customHeight="1">
      <c r="A1" s="160" t="s">
        <v>116</v>
      </c>
      <c r="B1" s="160"/>
      <c r="C1" s="160"/>
      <c r="D1" s="160"/>
      <c r="E1" s="160"/>
      <c r="F1" s="160"/>
      <c r="G1" s="160"/>
      <c r="H1" s="160"/>
    </row>
    <row r="2" spans="1:6" ht="18.75">
      <c r="A2" t="s">
        <v>45</v>
      </c>
      <c r="B2" s="1" t="s">
        <v>44</v>
      </c>
      <c r="C2" s="2"/>
      <c r="D2" s="2" t="s">
        <v>0</v>
      </c>
      <c r="E2" s="4">
        <v>19551.2</v>
      </c>
      <c r="F2" s="2"/>
    </row>
    <row r="3" spans="2:6" ht="15.75">
      <c r="B3" s="3" t="s">
        <v>1</v>
      </c>
      <c r="C3" s="17">
        <v>9</v>
      </c>
      <c r="D3" s="2" t="s">
        <v>2</v>
      </c>
      <c r="E3" s="4">
        <v>247</v>
      </c>
      <c r="F3" s="2"/>
    </row>
    <row r="4" spans="2:7" ht="15.75">
      <c r="B4" s="3" t="s">
        <v>3</v>
      </c>
      <c r="C4" s="4">
        <v>5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29" t="s">
        <v>36</v>
      </c>
      <c r="B6" s="161"/>
      <c r="C6" s="161"/>
      <c r="D6" s="161"/>
      <c r="E6" s="23" t="s">
        <v>6</v>
      </c>
      <c r="F6" s="23" t="s">
        <v>7</v>
      </c>
      <c r="G6" s="30" t="s">
        <v>49</v>
      </c>
      <c r="H6" s="31" t="s">
        <v>50</v>
      </c>
    </row>
    <row r="7" spans="1:8" ht="15.75" customHeight="1">
      <c r="A7" s="32"/>
      <c r="B7" s="162" t="s">
        <v>51</v>
      </c>
      <c r="C7" s="162"/>
      <c r="D7" s="162"/>
      <c r="E7" s="162"/>
      <c r="F7" s="162"/>
      <c r="G7" s="33"/>
      <c r="H7" s="34"/>
    </row>
    <row r="8" spans="1:8" ht="27.75" customHeight="1">
      <c r="A8" s="32">
        <v>1</v>
      </c>
      <c r="B8" s="192" t="s">
        <v>52</v>
      </c>
      <c r="C8" s="192"/>
      <c r="D8" s="192"/>
      <c r="E8" s="192"/>
      <c r="F8" s="192"/>
      <c r="G8" s="14">
        <f>G32</f>
        <v>14.920000000000002</v>
      </c>
      <c r="H8" s="34">
        <f>ROUND($E$2*G8*12,0)</f>
        <v>3500447</v>
      </c>
    </row>
    <row r="9" spans="1:8" ht="15.75" customHeight="1">
      <c r="A9" s="32"/>
      <c r="B9" s="156" t="s">
        <v>53</v>
      </c>
      <c r="C9" s="156"/>
      <c r="D9" s="156"/>
      <c r="E9" s="156"/>
      <c r="F9" s="156"/>
      <c r="G9" s="13">
        <v>0.78</v>
      </c>
      <c r="H9" s="34">
        <f>ROUND($E$2*G9*12,0)</f>
        <v>182999</v>
      </c>
    </row>
    <row r="10" spans="1:8" ht="18.75">
      <c r="A10" s="32">
        <v>2</v>
      </c>
      <c r="B10" s="193" t="s">
        <v>37</v>
      </c>
      <c r="C10" s="193"/>
      <c r="D10" s="193"/>
      <c r="E10" s="193"/>
      <c r="F10" s="193"/>
      <c r="G10" s="35"/>
      <c r="H10" s="34"/>
    </row>
    <row r="11" spans="1:8" ht="15.75">
      <c r="A11" s="32" t="s">
        <v>54</v>
      </c>
      <c r="B11" s="10" t="s">
        <v>38</v>
      </c>
      <c r="C11" s="10"/>
      <c r="D11" s="10"/>
      <c r="E11" s="10"/>
      <c r="F11" s="5"/>
      <c r="G11" s="36"/>
      <c r="H11" s="34"/>
    </row>
    <row r="12" spans="1:8" ht="31.5">
      <c r="A12" s="37"/>
      <c r="B12" s="157" t="s">
        <v>55</v>
      </c>
      <c r="C12" s="157"/>
      <c r="D12" s="157"/>
      <c r="E12" s="38" t="s">
        <v>31</v>
      </c>
      <c r="F12" s="38" t="s">
        <v>23</v>
      </c>
      <c r="G12" s="39">
        <v>1.26</v>
      </c>
      <c r="H12" s="26">
        <f aca="true" t="shared" si="0" ref="H12:H32">ROUND($E$2*G12*12,0)</f>
        <v>295614</v>
      </c>
    </row>
    <row r="13" spans="1:9" ht="15.75" customHeight="1">
      <c r="A13" s="37"/>
      <c r="B13" s="157" t="s">
        <v>17</v>
      </c>
      <c r="C13" s="157"/>
      <c r="D13" s="157"/>
      <c r="E13" s="38" t="s">
        <v>31</v>
      </c>
      <c r="F13" s="38" t="s">
        <v>18</v>
      </c>
      <c r="G13" s="39">
        <v>0.29</v>
      </c>
      <c r="H13" s="26">
        <f t="shared" si="0"/>
        <v>68038</v>
      </c>
      <c r="I13" s="19"/>
    </row>
    <row r="14" spans="1:8" ht="18.75" customHeight="1">
      <c r="A14" s="37"/>
      <c r="B14" s="158" t="s">
        <v>22</v>
      </c>
      <c r="C14" s="158"/>
      <c r="D14" s="158"/>
      <c r="E14" s="40" t="s">
        <v>8</v>
      </c>
      <c r="F14" s="40" t="s">
        <v>19</v>
      </c>
      <c r="G14" s="39">
        <v>1.02</v>
      </c>
      <c r="H14" s="26">
        <f t="shared" si="0"/>
        <v>239307</v>
      </c>
    </row>
    <row r="15" spans="1:8" ht="31.5">
      <c r="A15" s="37"/>
      <c r="B15" s="159" t="s">
        <v>30</v>
      </c>
      <c r="C15" s="159"/>
      <c r="D15" s="159"/>
      <c r="E15" s="41" t="s">
        <v>9</v>
      </c>
      <c r="F15" s="41" t="s">
        <v>10</v>
      </c>
      <c r="G15" s="39">
        <v>0.53</v>
      </c>
      <c r="H15" s="26">
        <f t="shared" si="0"/>
        <v>124346</v>
      </c>
    </row>
    <row r="16" spans="1:8" ht="54" customHeight="1">
      <c r="A16" s="37"/>
      <c r="B16" s="158" t="s">
        <v>26</v>
      </c>
      <c r="C16" s="158"/>
      <c r="D16" s="158"/>
      <c r="E16" s="40" t="s">
        <v>32</v>
      </c>
      <c r="F16" s="40" t="s">
        <v>24</v>
      </c>
      <c r="G16" s="39">
        <v>0.12</v>
      </c>
      <c r="H16" s="26">
        <f t="shared" si="0"/>
        <v>28154</v>
      </c>
    </row>
    <row r="17" spans="1:8" ht="31.5">
      <c r="A17" s="37"/>
      <c r="B17" s="158" t="s">
        <v>11</v>
      </c>
      <c r="C17" s="158"/>
      <c r="D17" s="158"/>
      <c r="E17" s="40" t="s">
        <v>9</v>
      </c>
      <c r="F17" s="40" t="s">
        <v>12</v>
      </c>
      <c r="G17" s="39">
        <v>2.29</v>
      </c>
      <c r="H17" s="26">
        <f t="shared" si="0"/>
        <v>537267</v>
      </c>
    </row>
    <row r="18" spans="1:8" ht="32.25" customHeight="1">
      <c r="A18" s="37"/>
      <c r="B18" s="158" t="s">
        <v>25</v>
      </c>
      <c r="C18" s="198"/>
      <c r="D18" s="198"/>
      <c r="E18" s="35" t="s">
        <v>13</v>
      </c>
      <c r="F18" s="35" t="s">
        <v>56</v>
      </c>
      <c r="G18" s="39">
        <v>0.05</v>
      </c>
      <c r="H18" s="26">
        <f t="shared" si="0"/>
        <v>11731</v>
      </c>
    </row>
    <row r="19" spans="1:8" ht="33" customHeight="1">
      <c r="A19" s="37"/>
      <c r="B19" s="158" t="s">
        <v>40</v>
      </c>
      <c r="C19" s="158"/>
      <c r="D19" s="158"/>
      <c r="E19" s="38" t="s">
        <v>33</v>
      </c>
      <c r="F19" s="40" t="s">
        <v>42</v>
      </c>
      <c r="G19" s="39">
        <v>2.21</v>
      </c>
      <c r="H19" s="26">
        <f t="shared" si="0"/>
        <v>518498</v>
      </c>
    </row>
    <row r="20" spans="1:8" ht="47.25">
      <c r="A20" s="37"/>
      <c r="B20" s="157" t="s">
        <v>15</v>
      </c>
      <c r="C20" s="157"/>
      <c r="D20" s="157"/>
      <c r="E20" s="38" t="s">
        <v>57</v>
      </c>
      <c r="F20" s="40" t="s">
        <v>42</v>
      </c>
      <c r="G20" s="39">
        <v>0.55</v>
      </c>
      <c r="H20" s="26">
        <f>ROUND(($E$2/5*4*G20*12),0)</f>
        <v>103230</v>
      </c>
    </row>
    <row r="21" spans="1:8" ht="28.5" customHeight="1">
      <c r="A21" s="37"/>
      <c r="B21" s="158" t="s">
        <v>34</v>
      </c>
      <c r="C21" s="198"/>
      <c r="D21" s="198"/>
      <c r="E21" s="38" t="s">
        <v>33</v>
      </c>
      <c r="F21" s="40" t="s">
        <v>42</v>
      </c>
      <c r="G21" s="39">
        <f>3.62-G22-G23</f>
        <v>3.62</v>
      </c>
      <c r="H21" s="26">
        <f t="shared" si="0"/>
        <v>849304</v>
      </c>
    </row>
    <row r="22" spans="1:8" ht="15.75" customHeight="1">
      <c r="A22" s="37"/>
      <c r="B22" s="158" t="s">
        <v>27</v>
      </c>
      <c r="C22" s="158"/>
      <c r="D22" s="158"/>
      <c r="E22" s="38" t="s">
        <v>33</v>
      </c>
      <c r="F22" s="40" t="s">
        <v>42</v>
      </c>
      <c r="G22" s="39">
        <v>0</v>
      </c>
      <c r="H22" s="26">
        <f t="shared" si="0"/>
        <v>0</v>
      </c>
    </row>
    <row r="23" spans="1:8" ht="36.75" customHeight="1">
      <c r="A23" s="37"/>
      <c r="B23" s="158" t="s">
        <v>28</v>
      </c>
      <c r="C23" s="158"/>
      <c r="D23" s="158"/>
      <c r="E23" s="38" t="s">
        <v>33</v>
      </c>
      <c r="F23" s="40" t="s">
        <v>42</v>
      </c>
      <c r="G23" s="39">
        <v>0</v>
      </c>
      <c r="H23" s="26">
        <f t="shared" si="0"/>
        <v>0</v>
      </c>
    </row>
    <row r="24" spans="1:8" ht="34.5" customHeight="1">
      <c r="A24" s="37"/>
      <c r="B24" s="198" t="s">
        <v>20</v>
      </c>
      <c r="C24" s="198"/>
      <c r="D24" s="198"/>
      <c r="E24" s="38" t="s">
        <v>33</v>
      </c>
      <c r="F24" s="40" t="s">
        <v>42</v>
      </c>
      <c r="G24" s="39">
        <v>1.49</v>
      </c>
      <c r="H24" s="26">
        <f t="shared" si="0"/>
        <v>349575</v>
      </c>
    </row>
    <row r="25" spans="1:8" ht="15.75">
      <c r="A25" s="37"/>
      <c r="B25" s="176"/>
      <c r="C25" s="177"/>
      <c r="D25" s="178"/>
      <c r="E25" s="38"/>
      <c r="F25" s="40"/>
      <c r="G25" s="39"/>
      <c r="H25" s="26"/>
    </row>
    <row r="26" spans="1:8" ht="15.75">
      <c r="A26" s="37"/>
      <c r="B26" s="176"/>
      <c r="C26" s="177"/>
      <c r="D26" s="178"/>
      <c r="E26" s="38"/>
      <c r="F26" s="40"/>
      <c r="G26" s="39"/>
      <c r="H26" s="26"/>
    </row>
    <row r="27" spans="1:8" ht="15.75">
      <c r="A27" s="37"/>
      <c r="B27" s="179" t="s">
        <v>29</v>
      </c>
      <c r="C27" s="179"/>
      <c r="D27" s="179"/>
      <c r="E27" s="7"/>
      <c r="F27" s="40"/>
      <c r="G27" s="11">
        <f>SUM(G12:G24)</f>
        <v>13.430000000000001</v>
      </c>
      <c r="H27" s="26">
        <f t="shared" si="0"/>
        <v>3150871</v>
      </c>
    </row>
    <row r="28" spans="1:8" ht="15.75">
      <c r="A28" s="37"/>
      <c r="B28" s="204"/>
      <c r="C28" s="205"/>
      <c r="D28" s="206"/>
      <c r="E28" s="7"/>
      <c r="F28" s="40"/>
      <c r="G28" s="11"/>
      <c r="H28" s="26"/>
    </row>
    <row r="29" spans="1:8" ht="15.75">
      <c r="A29" s="37"/>
      <c r="B29" s="204"/>
      <c r="C29" s="205"/>
      <c r="D29" s="206"/>
      <c r="E29" s="7"/>
      <c r="F29" s="40"/>
      <c r="G29" s="11"/>
      <c r="H29" s="26"/>
    </row>
    <row r="30" spans="1:8" ht="15.75">
      <c r="A30" s="37"/>
      <c r="B30" s="204"/>
      <c r="C30" s="205"/>
      <c r="D30" s="206"/>
      <c r="E30" s="7"/>
      <c r="F30" s="40"/>
      <c r="G30" s="11"/>
      <c r="H30" s="26"/>
    </row>
    <row r="31" spans="1:8" ht="31.5" customHeight="1" thickBot="1">
      <c r="A31" s="32" t="s">
        <v>58</v>
      </c>
      <c r="B31" s="180" t="s">
        <v>35</v>
      </c>
      <c r="C31" s="181"/>
      <c r="D31" s="182"/>
      <c r="E31" s="88" t="s">
        <v>120</v>
      </c>
      <c r="F31" s="40" t="s">
        <v>42</v>
      </c>
      <c r="G31" s="39">
        <v>1.49</v>
      </c>
      <c r="H31" s="26">
        <f t="shared" si="0"/>
        <v>349575</v>
      </c>
    </row>
    <row r="32" spans="1:8" ht="18.75">
      <c r="A32" s="42" t="s">
        <v>59</v>
      </c>
      <c r="B32" s="208" t="s">
        <v>39</v>
      </c>
      <c r="C32" s="208"/>
      <c r="D32" s="208"/>
      <c r="E32" s="208"/>
      <c r="F32" s="208"/>
      <c r="G32" s="11">
        <f>SUM(G27:G31)</f>
        <v>14.920000000000002</v>
      </c>
      <c r="H32" s="43">
        <f t="shared" si="0"/>
        <v>3500447</v>
      </c>
    </row>
    <row r="33" spans="1:8" ht="19.5" thickBot="1">
      <c r="A33" s="44">
        <v>3</v>
      </c>
      <c r="B33" s="199" t="s">
        <v>60</v>
      </c>
      <c r="C33" s="200"/>
      <c r="D33" s="201"/>
      <c r="E33" s="88" t="s">
        <v>120</v>
      </c>
      <c r="F33" s="47" t="s">
        <v>42</v>
      </c>
      <c r="G33" s="45">
        <v>0.78</v>
      </c>
      <c r="H33" s="46">
        <f>ROUND($E$2*G33*12,0)</f>
        <v>182999</v>
      </c>
    </row>
    <row r="34" spans="1:4" ht="31.5" customHeight="1">
      <c r="A34" s="83"/>
      <c r="B34" s="202" t="s">
        <v>115</v>
      </c>
      <c r="C34" s="202"/>
      <c r="D34" s="202"/>
    </row>
    <row r="35" spans="1:4" ht="15.75" customHeight="1">
      <c r="A35" s="83"/>
      <c r="B35" s="207" t="s">
        <v>118</v>
      </c>
      <c r="C35" s="207"/>
      <c r="D35" s="207"/>
    </row>
    <row r="36" spans="1:4" ht="15.75" customHeight="1">
      <c r="A36" s="83"/>
      <c r="B36" s="207" t="s">
        <v>119</v>
      </c>
      <c r="C36" s="207"/>
      <c r="D36" s="207"/>
    </row>
    <row r="37" spans="2:8" ht="15.75">
      <c r="B37" s="48" t="s">
        <v>117</v>
      </c>
      <c r="C37" s="48"/>
      <c r="D37" s="48"/>
      <c r="E37" s="48"/>
      <c r="F37" s="48"/>
      <c r="G37" s="48"/>
      <c r="H37" s="48"/>
    </row>
    <row r="39" spans="2:8" ht="28.5" customHeight="1">
      <c r="B39" s="21" t="s">
        <v>41</v>
      </c>
      <c r="D39" s="203" t="s">
        <v>43</v>
      </c>
      <c r="E39" s="203"/>
      <c r="F39" s="203"/>
      <c r="G39" s="203"/>
      <c r="H39" s="203"/>
    </row>
    <row r="40" spans="2:6" ht="15.75">
      <c r="B40" s="21" t="s">
        <v>97</v>
      </c>
      <c r="C40" s="21"/>
      <c r="D40" s="21"/>
      <c r="E40" s="21"/>
      <c r="F40" s="21"/>
    </row>
  </sheetData>
  <mergeCells count="32">
    <mergeCell ref="D39:H39"/>
    <mergeCell ref="B25:D25"/>
    <mergeCell ref="B26:D26"/>
    <mergeCell ref="B28:D28"/>
    <mergeCell ref="B29:D29"/>
    <mergeCell ref="B30:D30"/>
    <mergeCell ref="B35:D35"/>
    <mergeCell ref="B36:D36"/>
    <mergeCell ref="B31:D31"/>
    <mergeCell ref="B32:F32"/>
    <mergeCell ref="B33:D33"/>
    <mergeCell ref="B34:D34"/>
    <mergeCell ref="B22:D22"/>
    <mergeCell ref="B23:D23"/>
    <mergeCell ref="B24:D24"/>
    <mergeCell ref="B27:D27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9">
      <selection activeCell="G19" sqref="G19:G31"/>
    </sheetView>
  </sheetViews>
  <sheetFormatPr defaultColWidth="9.00390625" defaultRowHeight="15.75"/>
  <cols>
    <col min="1" max="1" width="6.375" style="0" customWidth="1"/>
    <col min="2" max="2" width="27.75390625" style="0" customWidth="1"/>
    <col min="3" max="3" width="3.50390625" style="0" customWidth="1"/>
    <col min="4" max="4" width="16.125" style="0" customWidth="1"/>
    <col min="5" max="5" width="16.75390625" style="0" customWidth="1"/>
    <col min="6" max="6" width="17.75390625" style="0" hidden="1" customWidth="1"/>
    <col min="7" max="7" width="12.875" style="0" customWidth="1"/>
    <col min="8" max="8" width="13.00390625" style="0" customWidth="1"/>
    <col min="9" max="9" width="9.875" style="0" bestFit="1" customWidth="1"/>
  </cols>
  <sheetData>
    <row r="1" spans="4:8" ht="65.25" customHeight="1">
      <c r="D1" s="216" t="s">
        <v>121</v>
      </c>
      <c r="E1" s="216"/>
      <c r="F1" s="216"/>
      <c r="G1" s="216"/>
      <c r="H1" s="216"/>
    </row>
    <row r="4" spans="1:8" ht="19.5">
      <c r="A4" s="160" t="s">
        <v>122</v>
      </c>
      <c r="B4" s="160"/>
      <c r="C4" s="160"/>
      <c r="D4" s="160"/>
      <c r="E4" s="160"/>
      <c r="F4" s="160"/>
      <c r="G4" s="160"/>
      <c r="H4" s="160"/>
    </row>
    <row r="5" spans="1:7" ht="19.5">
      <c r="A5" s="87"/>
      <c r="B5" s="87"/>
      <c r="C5" s="87"/>
      <c r="D5" s="87"/>
      <c r="E5" s="87"/>
      <c r="F5" s="87"/>
      <c r="G5" s="87"/>
    </row>
    <row r="6" spans="1:7" ht="19.5">
      <c r="A6" s="87"/>
      <c r="B6" s="207" t="s">
        <v>138</v>
      </c>
      <c r="C6" s="207"/>
      <c r="D6" s="207"/>
      <c r="E6" s="207"/>
      <c r="F6" s="87"/>
      <c r="G6" s="87"/>
    </row>
    <row r="7" spans="1:7" ht="19.5">
      <c r="A7" s="87"/>
      <c r="B7" s="89"/>
      <c r="C7" s="89"/>
      <c r="D7" s="89"/>
      <c r="E7" s="89"/>
      <c r="F7" s="87"/>
      <c r="G7" s="87"/>
    </row>
    <row r="8" spans="1:6" ht="18.75">
      <c r="A8" t="s">
        <v>45</v>
      </c>
      <c r="B8" s="1" t="s">
        <v>44</v>
      </c>
      <c r="C8" s="2"/>
      <c r="D8" s="2" t="s">
        <v>0</v>
      </c>
      <c r="E8" s="4">
        <v>16481.54</v>
      </c>
      <c r="F8" s="2"/>
    </row>
    <row r="9" spans="2:6" ht="15.75">
      <c r="B9" s="3" t="s">
        <v>1</v>
      </c>
      <c r="C9" s="17">
        <v>9</v>
      </c>
      <c r="D9" s="2" t="s">
        <v>2</v>
      </c>
      <c r="E9" s="4" t="s">
        <v>132</v>
      </c>
      <c r="F9" s="2"/>
    </row>
    <row r="10" spans="2:7" ht="15.75">
      <c r="B10" s="3" t="s">
        <v>3</v>
      </c>
      <c r="C10" s="4">
        <v>5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11" customHeight="1">
      <c r="A12" s="96" t="s">
        <v>36</v>
      </c>
      <c r="B12" s="217" t="s">
        <v>63</v>
      </c>
      <c r="C12" s="218"/>
      <c r="D12" s="219"/>
      <c r="E12" s="23" t="s">
        <v>6</v>
      </c>
      <c r="F12" s="23" t="s">
        <v>7</v>
      </c>
      <c r="G12" s="90" t="s">
        <v>133</v>
      </c>
      <c r="H12" s="91" t="s">
        <v>136</v>
      </c>
    </row>
    <row r="13" spans="1:8" ht="25.5">
      <c r="A13" s="93">
        <v>1</v>
      </c>
      <c r="B13" s="168">
        <v>2</v>
      </c>
      <c r="C13" s="169"/>
      <c r="D13" s="163"/>
      <c r="E13" s="92">
        <v>3</v>
      </c>
      <c r="F13" s="92"/>
      <c r="G13" s="94">
        <v>4</v>
      </c>
      <c r="H13" s="95" t="s">
        <v>137</v>
      </c>
    </row>
    <row r="14" spans="1:8" ht="15.75" customHeight="1" hidden="1">
      <c r="A14" s="32"/>
      <c r="B14" s="162" t="s">
        <v>51</v>
      </c>
      <c r="C14" s="162"/>
      <c r="D14" s="162"/>
      <c r="E14" s="162"/>
      <c r="F14" s="162"/>
      <c r="G14" s="33"/>
      <c r="H14" s="34"/>
    </row>
    <row r="15" spans="1:8" ht="27.75" customHeight="1" hidden="1">
      <c r="A15" s="32">
        <v>1</v>
      </c>
      <c r="B15" s="192" t="s">
        <v>52</v>
      </c>
      <c r="C15" s="192"/>
      <c r="D15" s="192"/>
      <c r="E15" s="192"/>
      <c r="F15" s="192"/>
      <c r="G15" s="14">
        <f>G34</f>
        <v>15.36</v>
      </c>
      <c r="H15" s="34">
        <f>ROUND($E$8*G15*12,0)</f>
        <v>3037877</v>
      </c>
    </row>
    <row r="16" spans="1:8" ht="15.75" customHeight="1" hidden="1">
      <c r="A16" s="32"/>
      <c r="B16" s="156" t="s">
        <v>53</v>
      </c>
      <c r="C16" s="156"/>
      <c r="D16" s="156"/>
      <c r="E16" s="156"/>
      <c r="F16" s="156"/>
      <c r="G16" s="13">
        <v>0.78</v>
      </c>
      <c r="H16" s="34">
        <f>ROUND($E$8*G16*12,0)</f>
        <v>154267</v>
      </c>
    </row>
    <row r="17" spans="1:8" ht="18.75">
      <c r="A17" s="32" t="s">
        <v>46</v>
      </c>
      <c r="B17" s="193" t="s">
        <v>37</v>
      </c>
      <c r="C17" s="193"/>
      <c r="D17" s="193"/>
      <c r="E17" s="193"/>
      <c r="F17" s="193"/>
      <c r="G17" s="35"/>
      <c r="H17" s="34"/>
    </row>
    <row r="18" spans="1:8" ht="15.75">
      <c r="A18" s="32" t="s">
        <v>123</v>
      </c>
      <c r="B18" s="10" t="s">
        <v>38</v>
      </c>
      <c r="C18" s="10"/>
      <c r="D18" s="10"/>
      <c r="E18" s="10"/>
      <c r="F18" s="5"/>
      <c r="G18" s="36"/>
      <c r="H18" s="34"/>
    </row>
    <row r="19" spans="1:8" ht="27.75" customHeight="1">
      <c r="A19" s="37"/>
      <c r="B19" s="157" t="s">
        <v>139</v>
      </c>
      <c r="C19" s="157"/>
      <c r="D19" s="157"/>
      <c r="E19" s="60" t="s">
        <v>31</v>
      </c>
      <c r="F19" s="38" t="s">
        <v>23</v>
      </c>
      <c r="G19" s="39">
        <v>1.29</v>
      </c>
      <c r="H19" s="26">
        <f aca="true" t="shared" si="0" ref="H19:H31">ROUND($E$8*G19*1,0)</f>
        <v>21261</v>
      </c>
    </row>
    <row r="20" spans="1:9" ht="15.75">
      <c r="A20" s="37"/>
      <c r="B20" s="157" t="s">
        <v>17</v>
      </c>
      <c r="C20" s="157"/>
      <c r="D20" s="157"/>
      <c r="E20" s="60" t="s">
        <v>31</v>
      </c>
      <c r="F20" s="38" t="s">
        <v>18</v>
      </c>
      <c r="G20" s="39">
        <v>0.3</v>
      </c>
      <c r="H20" s="26">
        <f t="shared" si="0"/>
        <v>4944</v>
      </c>
      <c r="I20" s="19"/>
    </row>
    <row r="21" spans="1:8" ht="15.75">
      <c r="A21" s="37"/>
      <c r="B21" s="158" t="s">
        <v>22</v>
      </c>
      <c r="C21" s="158"/>
      <c r="D21" s="158"/>
      <c r="E21" s="64" t="s">
        <v>73</v>
      </c>
      <c r="F21" s="40" t="s">
        <v>19</v>
      </c>
      <c r="G21" s="39">
        <v>1.05</v>
      </c>
      <c r="H21" s="26">
        <f t="shared" si="0"/>
        <v>17306</v>
      </c>
    </row>
    <row r="22" spans="1:8" ht="31.5">
      <c r="A22" s="37"/>
      <c r="B22" s="159" t="s">
        <v>30</v>
      </c>
      <c r="C22" s="159"/>
      <c r="D22" s="159"/>
      <c r="E22" s="66" t="s">
        <v>9</v>
      </c>
      <c r="F22" s="41" t="s">
        <v>10</v>
      </c>
      <c r="G22" s="39">
        <v>0.54</v>
      </c>
      <c r="H22" s="26">
        <f t="shared" si="0"/>
        <v>8900</v>
      </c>
    </row>
    <row r="23" spans="1:8" ht="51">
      <c r="A23" s="37"/>
      <c r="B23" s="158" t="s">
        <v>26</v>
      </c>
      <c r="C23" s="158"/>
      <c r="D23" s="158"/>
      <c r="E23" s="64" t="s">
        <v>32</v>
      </c>
      <c r="F23" s="40" t="s">
        <v>24</v>
      </c>
      <c r="G23" s="39">
        <v>0.13</v>
      </c>
      <c r="H23" s="26">
        <f t="shared" si="0"/>
        <v>2143</v>
      </c>
    </row>
    <row r="24" spans="1:8" ht="31.5">
      <c r="A24" s="37"/>
      <c r="B24" s="158" t="s">
        <v>11</v>
      </c>
      <c r="C24" s="158"/>
      <c r="D24" s="158"/>
      <c r="E24" s="64" t="s">
        <v>9</v>
      </c>
      <c r="F24" s="40" t="s">
        <v>12</v>
      </c>
      <c r="G24" s="39">
        <v>2.35</v>
      </c>
      <c r="H24" s="26">
        <f t="shared" si="0"/>
        <v>38732</v>
      </c>
    </row>
    <row r="25" spans="1:8" ht="15.75">
      <c r="A25" s="37"/>
      <c r="B25" s="158" t="s">
        <v>25</v>
      </c>
      <c r="C25" s="198"/>
      <c r="D25" s="198"/>
      <c r="E25" s="67" t="s">
        <v>13</v>
      </c>
      <c r="F25" s="35" t="s">
        <v>56</v>
      </c>
      <c r="G25" s="39">
        <v>0.05</v>
      </c>
      <c r="H25" s="26">
        <f t="shared" si="0"/>
        <v>824</v>
      </c>
    </row>
    <row r="26" spans="1:8" ht="51">
      <c r="A26" s="37"/>
      <c r="B26" s="158" t="s">
        <v>40</v>
      </c>
      <c r="C26" s="158"/>
      <c r="D26" s="158"/>
      <c r="E26" s="60" t="s">
        <v>131</v>
      </c>
      <c r="F26" s="40" t="s">
        <v>42</v>
      </c>
      <c r="G26" s="39">
        <v>1.63</v>
      </c>
      <c r="H26" s="26">
        <f t="shared" si="0"/>
        <v>26865</v>
      </c>
    </row>
    <row r="27" spans="1:8" ht="51">
      <c r="A27" s="37"/>
      <c r="B27" s="157" t="s">
        <v>15</v>
      </c>
      <c r="C27" s="157"/>
      <c r="D27" s="157"/>
      <c r="E27" s="60" t="s">
        <v>57</v>
      </c>
      <c r="F27" s="40" t="s">
        <v>42</v>
      </c>
      <c r="G27" s="39">
        <v>0.56</v>
      </c>
      <c r="H27" s="26">
        <f t="shared" si="0"/>
        <v>9230</v>
      </c>
    </row>
    <row r="28" spans="1:8" ht="33" customHeight="1">
      <c r="A28" s="37"/>
      <c r="B28" s="158" t="s">
        <v>34</v>
      </c>
      <c r="C28" s="198"/>
      <c r="D28" s="198"/>
      <c r="E28" s="60" t="s">
        <v>33</v>
      </c>
      <c r="F28" s="40" t="s">
        <v>42</v>
      </c>
      <c r="G28" s="39">
        <f>4.38-G29-G30</f>
        <v>4.38</v>
      </c>
      <c r="H28" s="26">
        <f t="shared" si="0"/>
        <v>72189</v>
      </c>
    </row>
    <row r="29" spans="1:8" ht="15.75" customHeight="1">
      <c r="A29" s="37"/>
      <c r="B29" s="158" t="s">
        <v>27</v>
      </c>
      <c r="C29" s="158"/>
      <c r="D29" s="158"/>
      <c r="E29" s="60" t="s">
        <v>9</v>
      </c>
      <c r="F29" s="40" t="s">
        <v>42</v>
      </c>
      <c r="G29" s="98">
        <v>0</v>
      </c>
      <c r="H29" s="26">
        <f t="shared" si="0"/>
        <v>0</v>
      </c>
    </row>
    <row r="30" spans="1:8" ht="15.75">
      <c r="A30" s="37"/>
      <c r="B30" s="158" t="s">
        <v>28</v>
      </c>
      <c r="C30" s="158"/>
      <c r="D30" s="158"/>
      <c r="E30" s="60" t="s">
        <v>9</v>
      </c>
      <c r="F30" s="40" t="s">
        <v>42</v>
      </c>
      <c r="G30" s="98">
        <v>0</v>
      </c>
      <c r="H30" s="26">
        <f t="shared" si="0"/>
        <v>0</v>
      </c>
    </row>
    <row r="31" spans="1:8" ht="25.5">
      <c r="A31" s="37"/>
      <c r="B31" s="198" t="s">
        <v>20</v>
      </c>
      <c r="C31" s="198"/>
      <c r="D31" s="198"/>
      <c r="E31" s="60" t="s">
        <v>33</v>
      </c>
      <c r="F31" s="40" t="s">
        <v>42</v>
      </c>
      <c r="G31" s="39">
        <v>1.54</v>
      </c>
      <c r="H31" s="26">
        <f t="shared" si="0"/>
        <v>25382</v>
      </c>
    </row>
    <row r="32" spans="1:8" ht="15.75">
      <c r="A32" s="37"/>
      <c r="B32" s="179" t="s">
        <v>29</v>
      </c>
      <c r="C32" s="179"/>
      <c r="D32" s="179"/>
      <c r="E32" s="102"/>
      <c r="F32" s="40"/>
      <c r="G32" s="11">
        <f>SUM(G19:G31)</f>
        <v>13.82</v>
      </c>
      <c r="H32" s="106">
        <f>SUM(H19:H31)</f>
        <v>227776</v>
      </c>
    </row>
    <row r="33" spans="1:8" ht="15.75">
      <c r="A33" s="32" t="s">
        <v>124</v>
      </c>
      <c r="B33" s="180" t="s">
        <v>35</v>
      </c>
      <c r="C33" s="181"/>
      <c r="D33" s="182"/>
      <c r="E33" s="64" t="s">
        <v>120</v>
      </c>
      <c r="F33" s="40" t="s">
        <v>42</v>
      </c>
      <c r="G33" s="39">
        <v>1.54</v>
      </c>
      <c r="H33" s="26">
        <f>ROUND($E$8*G33*1,0)</f>
        <v>25382</v>
      </c>
    </row>
    <row r="34" spans="1:8" ht="16.5">
      <c r="A34" s="32" t="s">
        <v>125</v>
      </c>
      <c r="B34" s="209" t="s">
        <v>39</v>
      </c>
      <c r="C34" s="209"/>
      <c r="D34" s="209"/>
      <c r="E34" s="210"/>
      <c r="F34" s="209"/>
      <c r="G34" s="11">
        <f>SUM(G32:G33)</f>
        <v>15.36</v>
      </c>
      <c r="H34" s="107">
        <f>SUM(H32:H33)</f>
        <v>253158</v>
      </c>
    </row>
    <row r="35" spans="1:8" ht="17.25" thickBot="1">
      <c r="A35" s="97" t="s">
        <v>47</v>
      </c>
      <c r="B35" s="211" t="s">
        <v>60</v>
      </c>
      <c r="C35" s="212"/>
      <c r="D35" s="213"/>
      <c r="E35" s="103" t="s">
        <v>120</v>
      </c>
      <c r="F35" s="104" t="s">
        <v>42</v>
      </c>
      <c r="G35" s="99">
        <v>0.8</v>
      </c>
      <c r="H35" s="101">
        <f>ROUND($E$8*G35*1,0)</f>
        <v>13185</v>
      </c>
    </row>
    <row r="36" spans="1:8" ht="31.5" customHeight="1" hidden="1">
      <c r="A36" s="83"/>
      <c r="B36" s="214" t="s">
        <v>115</v>
      </c>
      <c r="C36" s="214"/>
      <c r="D36" s="214"/>
      <c r="H36" s="105">
        <f>ROUND($E$8*G36*4,0)</f>
        <v>0</v>
      </c>
    </row>
    <row r="37" spans="1:8" ht="15.75" customHeight="1" hidden="1">
      <c r="A37" s="83"/>
      <c r="B37" s="207" t="s">
        <v>118</v>
      </c>
      <c r="C37" s="207"/>
      <c r="D37" s="207"/>
      <c r="H37" s="26">
        <f>ROUND($E$8*G37*4,0)</f>
        <v>0</v>
      </c>
    </row>
    <row r="38" spans="1:8" ht="15.75" customHeight="1" hidden="1">
      <c r="A38" s="83"/>
      <c r="B38" s="207" t="s">
        <v>119</v>
      </c>
      <c r="C38" s="207"/>
      <c r="D38" s="207"/>
      <c r="H38" s="26">
        <f>ROUND($E$8*G38*4,0)</f>
        <v>0</v>
      </c>
    </row>
    <row r="39" spans="2:8" ht="16.5" hidden="1" thickBot="1">
      <c r="B39" s="48" t="s">
        <v>117</v>
      </c>
      <c r="C39" s="48"/>
      <c r="D39" s="48"/>
      <c r="E39" s="48"/>
      <c r="F39" s="48"/>
      <c r="G39" s="48"/>
      <c r="H39" s="101">
        <f>ROUND($E$8*G39*4,0)</f>
        <v>0</v>
      </c>
    </row>
    <row r="40" spans="2:5" ht="15.75">
      <c r="B40" s="215" t="s">
        <v>126</v>
      </c>
      <c r="C40" s="215"/>
      <c r="D40" s="215"/>
      <c r="E40" s="215"/>
    </row>
    <row r="41" spans="2:5" ht="15.75">
      <c r="B41" s="100"/>
      <c r="C41" s="100"/>
      <c r="D41" s="100"/>
      <c r="E41" s="100"/>
    </row>
    <row r="42" spans="1:8" ht="15.75">
      <c r="A42" s="89"/>
      <c r="B42" s="207" t="s">
        <v>134</v>
      </c>
      <c r="C42" s="207"/>
      <c r="D42" s="207"/>
      <c r="E42" s="207"/>
      <c r="F42" s="207"/>
      <c r="G42" s="207"/>
      <c r="H42" s="207"/>
    </row>
    <row r="43" spans="1:8" ht="15.75">
      <c r="A43" s="89"/>
      <c r="B43" s="207" t="s">
        <v>135</v>
      </c>
      <c r="C43" s="207"/>
      <c r="D43" s="207"/>
      <c r="E43" s="207"/>
      <c r="F43" s="207"/>
      <c r="G43" s="207"/>
      <c r="H43" s="207"/>
    </row>
    <row r="44" spans="2:5" ht="15.75">
      <c r="B44" s="100"/>
      <c r="C44" s="100"/>
      <c r="D44" s="100"/>
      <c r="E44" s="100"/>
    </row>
    <row r="45" spans="2:7" ht="15.75" customHeight="1">
      <c r="B45" s="21" t="s">
        <v>127</v>
      </c>
      <c r="C45" s="21"/>
      <c r="D45" s="21"/>
      <c r="E45" s="21" t="s">
        <v>128</v>
      </c>
      <c r="F45" s="21"/>
      <c r="G45" s="21"/>
    </row>
    <row r="46" ht="15.75" customHeight="1"/>
    <row r="47" spans="2:5" ht="15.75" customHeight="1">
      <c r="B47" s="21" t="s">
        <v>129</v>
      </c>
      <c r="C47" s="21"/>
      <c r="D47" s="21"/>
      <c r="E47" t="s">
        <v>130</v>
      </c>
    </row>
  </sheetData>
  <mergeCells count="32">
    <mergeCell ref="B42:H42"/>
    <mergeCell ref="B43:H43"/>
    <mergeCell ref="B40:E40"/>
    <mergeCell ref="D1:H1"/>
    <mergeCell ref="A4:H4"/>
    <mergeCell ref="B6:E6"/>
    <mergeCell ref="B13:D13"/>
    <mergeCell ref="B12:D12"/>
    <mergeCell ref="B14:F14"/>
    <mergeCell ref="B15:F15"/>
    <mergeCell ref="B16:F16"/>
    <mergeCell ref="B17:F1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7:D37"/>
    <mergeCell ref="B38:D38"/>
    <mergeCell ref="B33:D33"/>
    <mergeCell ref="B34:F34"/>
    <mergeCell ref="B35:D35"/>
    <mergeCell ref="B36:D3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E4" sqref="E4:E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0" t="s">
        <v>158</v>
      </c>
      <c r="B1" s="160"/>
      <c r="C1" s="160"/>
      <c r="D1" s="160"/>
      <c r="E1" s="160"/>
      <c r="F1" s="160"/>
      <c r="G1" s="160"/>
      <c r="H1" s="160"/>
      <c r="I1" s="160"/>
    </row>
    <row r="2" spans="1:9" ht="1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4.2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7" ht="31.5" customHeight="1">
      <c r="A4" t="s">
        <v>45</v>
      </c>
      <c r="B4" s="1" t="s">
        <v>44</v>
      </c>
      <c r="C4" s="2"/>
      <c r="D4" s="108" t="s">
        <v>140</v>
      </c>
      <c r="E4" s="109">
        <v>16481.54</v>
      </c>
      <c r="F4" s="2"/>
      <c r="G4" s="2"/>
    </row>
    <row r="5" spans="2:7" ht="15.75">
      <c r="B5" s="3" t="s">
        <v>1</v>
      </c>
      <c r="C5" s="110">
        <v>9</v>
      </c>
      <c r="D5" s="2" t="s">
        <v>2</v>
      </c>
      <c r="E5" s="4" t="s">
        <v>132</v>
      </c>
      <c r="F5" s="2"/>
      <c r="G5" s="2"/>
    </row>
    <row r="6" spans="2:8" ht="15.75">
      <c r="B6" s="3" t="s">
        <v>3</v>
      </c>
      <c r="C6" s="4">
        <v>5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75.75" customHeight="1">
      <c r="A8" s="96" t="s">
        <v>36</v>
      </c>
      <c r="B8" s="217" t="s">
        <v>63</v>
      </c>
      <c r="C8" s="218"/>
      <c r="D8" s="219"/>
      <c r="E8" s="23" t="s">
        <v>6</v>
      </c>
      <c r="F8" s="23" t="s">
        <v>7</v>
      </c>
      <c r="G8" s="111" t="s">
        <v>141</v>
      </c>
      <c r="H8" s="112" t="s">
        <v>142</v>
      </c>
      <c r="I8" s="113" t="s">
        <v>143</v>
      </c>
    </row>
    <row r="9" spans="1:9" ht="26.25" customHeight="1">
      <c r="A9" s="93">
        <v>1</v>
      </c>
      <c r="B9" s="168">
        <v>2</v>
      </c>
      <c r="C9" s="169"/>
      <c r="D9" s="163"/>
      <c r="E9" s="92">
        <v>3</v>
      </c>
      <c r="F9" s="92"/>
      <c r="G9" s="114">
        <v>4</v>
      </c>
      <c r="H9" s="115">
        <v>5</v>
      </c>
      <c r="I9" s="116" t="s">
        <v>144</v>
      </c>
    </row>
    <row r="10" spans="1:9" ht="15.75" customHeight="1">
      <c r="A10" s="32">
        <v>1</v>
      </c>
      <c r="B10" s="162" t="s">
        <v>51</v>
      </c>
      <c r="C10" s="162"/>
      <c r="D10" s="162"/>
      <c r="E10" s="162"/>
      <c r="F10" s="162"/>
      <c r="G10" s="94"/>
      <c r="H10" s="33"/>
      <c r="I10" s="34"/>
    </row>
    <row r="11" spans="1:9" ht="28.5" customHeight="1">
      <c r="A11" s="32"/>
      <c r="B11" s="192" t="s">
        <v>145</v>
      </c>
      <c r="C11" s="192"/>
      <c r="D11" s="192"/>
      <c r="E11" s="192"/>
      <c r="F11" s="192"/>
      <c r="G11" s="14">
        <f>G32</f>
        <v>14.369999999999997</v>
      </c>
      <c r="H11" s="14">
        <f>H32</f>
        <v>15.3</v>
      </c>
      <c r="I11" s="26">
        <f>ROUND($E$4*G11*6,0)+ROUND($E$4*H11*6,0)</f>
        <v>2934043</v>
      </c>
    </row>
    <row r="12" spans="1:9" ht="15.75" customHeight="1">
      <c r="A12" s="32"/>
      <c r="B12" s="156" t="s">
        <v>53</v>
      </c>
      <c r="C12" s="156"/>
      <c r="D12" s="156"/>
      <c r="E12" s="156"/>
      <c r="F12" s="156"/>
      <c r="G12" s="14">
        <f>G33</f>
        <v>0.8</v>
      </c>
      <c r="H12" s="13">
        <f>H33</f>
        <v>0.85</v>
      </c>
      <c r="I12" s="26">
        <f aca="true" t="shared" si="0" ref="I12:I33">ROUND($E$4*G12*6,0)+ROUND($E$4*H12*6,0)</f>
        <v>163167</v>
      </c>
    </row>
    <row r="13" spans="1:9" ht="18.75" customHeight="1">
      <c r="A13" s="32">
        <v>2</v>
      </c>
      <c r="B13" s="193" t="s">
        <v>37</v>
      </c>
      <c r="C13" s="193"/>
      <c r="D13" s="193"/>
      <c r="E13" s="193"/>
      <c r="F13" s="193"/>
      <c r="G13" s="13"/>
      <c r="H13" s="35"/>
      <c r="I13" s="26"/>
    </row>
    <row r="14" spans="1:9" ht="15.75" customHeight="1">
      <c r="A14" s="32" t="s">
        <v>54</v>
      </c>
      <c r="B14" s="10" t="s">
        <v>38</v>
      </c>
      <c r="C14" s="10"/>
      <c r="D14" s="10"/>
      <c r="E14" s="10"/>
      <c r="F14" s="5"/>
      <c r="G14" s="35"/>
      <c r="H14" s="36"/>
      <c r="I14" s="26"/>
    </row>
    <row r="15" spans="1:9" ht="16.5" customHeight="1">
      <c r="A15" s="37"/>
      <c r="B15" s="157" t="s">
        <v>146</v>
      </c>
      <c r="C15" s="157"/>
      <c r="D15" s="157"/>
      <c r="E15" s="60" t="s">
        <v>31</v>
      </c>
      <c r="F15" s="38" t="s">
        <v>23</v>
      </c>
      <c r="G15" s="39">
        <v>1.29</v>
      </c>
      <c r="H15" s="39">
        <v>1.37</v>
      </c>
      <c r="I15" s="26">
        <f t="shared" si="0"/>
        <v>263045</v>
      </c>
    </row>
    <row r="16" spans="1:9" ht="18" customHeight="1">
      <c r="A16" s="37"/>
      <c r="B16" s="157" t="s">
        <v>17</v>
      </c>
      <c r="C16" s="157"/>
      <c r="D16" s="157"/>
      <c r="E16" s="60" t="s">
        <v>31</v>
      </c>
      <c r="F16" s="38" t="s">
        <v>18</v>
      </c>
      <c r="G16" s="39">
        <v>0.3</v>
      </c>
      <c r="H16" s="39">
        <v>0.32</v>
      </c>
      <c r="I16" s="26">
        <f t="shared" si="0"/>
        <v>61312</v>
      </c>
    </row>
    <row r="17" spans="1:9" ht="15.75" customHeight="1">
      <c r="A17" s="37"/>
      <c r="B17" s="158" t="s">
        <v>147</v>
      </c>
      <c r="C17" s="158"/>
      <c r="D17" s="158"/>
      <c r="E17" s="64" t="s">
        <v>73</v>
      </c>
      <c r="F17" s="40" t="s">
        <v>19</v>
      </c>
      <c r="G17" s="39">
        <v>0.06</v>
      </c>
      <c r="H17" s="39">
        <v>0.06</v>
      </c>
      <c r="I17" s="26">
        <f t="shared" si="0"/>
        <v>11866</v>
      </c>
    </row>
    <row r="18" spans="1:9" ht="15.75">
      <c r="A18" s="37"/>
      <c r="B18" s="159" t="s">
        <v>30</v>
      </c>
      <c r="C18" s="159"/>
      <c r="D18" s="159"/>
      <c r="E18" s="66" t="s">
        <v>9</v>
      </c>
      <c r="F18" s="41" t="s">
        <v>10</v>
      </c>
      <c r="G18" s="39">
        <v>0.54</v>
      </c>
      <c r="H18" s="39">
        <v>0.58</v>
      </c>
      <c r="I18" s="26">
        <f t="shared" si="0"/>
        <v>110756</v>
      </c>
    </row>
    <row r="19" spans="1:9" ht="51">
      <c r="A19" s="37"/>
      <c r="B19" s="158" t="s">
        <v>26</v>
      </c>
      <c r="C19" s="158"/>
      <c r="D19" s="158"/>
      <c r="E19" s="64" t="s">
        <v>74</v>
      </c>
      <c r="F19" s="40" t="s">
        <v>24</v>
      </c>
      <c r="G19" s="39">
        <v>0.13</v>
      </c>
      <c r="H19" s="39">
        <v>0.14</v>
      </c>
      <c r="I19" s="26">
        <f t="shared" si="0"/>
        <v>26700</v>
      </c>
    </row>
    <row r="20" spans="1:9" ht="16.5" customHeight="1">
      <c r="A20" s="37"/>
      <c r="B20" s="158" t="s">
        <v>11</v>
      </c>
      <c r="C20" s="158"/>
      <c r="D20" s="158"/>
      <c r="E20" s="64" t="s">
        <v>9</v>
      </c>
      <c r="F20" s="40" t="s">
        <v>12</v>
      </c>
      <c r="G20" s="39">
        <v>2.35</v>
      </c>
      <c r="H20" s="39">
        <v>2.5</v>
      </c>
      <c r="I20" s="26">
        <f t="shared" si="0"/>
        <v>479613</v>
      </c>
    </row>
    <row r="21" spans="1:9" ht="15.75">
      <c r="A21" s="37"/>
      <c r="B21" s="158" t="s">
        <v>25</v>
      </c>
      <c r="C21" s="198"/>
      <c r="D21" s="198"/>
      <c r="E21" s="67" t="s">
        <v>13</v>
      </c>
      <c r="F21" s="35" t="s">
        <v>56</v>
      </c>
      <c r="G21" s="39">
        <v>0.05</v>
      </c>
      <c r="H21" s="39">
        <v>0.05</v>
      </c>
      <c r="I21" s="26">
        <f t="shared" si="0"/>
        <v>9888</v>
      </c>
    </row>
    <row r="22" spans="1:9" ht="38.25">
      <c r="A22" s="37"/>
      <c r="B22" s="158" t="s">
        <v>40</v>
      </c>
      <c r="C22" s="158"/>
      <c r="D22" s="158"/>
      <c r="E22" s="60" t="s">
        <v>148</v>
      </c>
      <c r="F22" s="40" t="s">
        <v>42</v>
      </c>
      <c r="G22" s="39">
        <v>1.63</v>
      </c>
      <c r="H22" s="39">
        <v>1.74</v>
      </c>
      <c r="I22" s="26">
        <f t="shared" si="0"/>
        <v>333256</v>
      </c>
    </row>
    <row r="23" spans="1:9" ht="51">
      <c r="A23" s="37"/>
      <c r="B23" s="157" t="s">
        <v>15</v>
      </c>
      <c r="C23" s="157"/>
      <c r="D23" s="157"/>
      <c r="E23" s="60" t="s">
        <v>57</v>
      </c>
      <c r="F23" s="40" t="s">
        <v>42</v>
      </c>
      <c r="G23" s="39">
        <v>0.56</v>
      </c>
      <c r="H23" s="39">
        <v>0.6</v>
      </c>
      <c r="I23" s="26">
        <f t="shared" si="0"/>
        <v>114712</v>
      </c>
    </row>
    <row r="24" spans="1:9" ht="30.75" customHeight="1">
      <c r="A24" s="37"/>
      <c r="B24" s="158" t="s">
        <v>34</v>
      </c>
      <c r="C24" s="198"/>
      <c r="D24" s="198"/>
      <c r="E24" s="60" t="s">
        <v>33</v>
      </c>
      <c r="F24" s="40" t="s">
        <v>42</v>
      </c>
      <c r="G24" s="39">
        <f>4.38-G25-G26</f>
        <v>4.38</v>
      </c>
      <c r="H24" s="39">
        <f>4.66-H25-H26</f>
        <v>4.66</v>
      </c>
      <c r="I24" s="26">
        <f t="shared" si="0"/>
        <v>893959</v>
      </c>
    </row>
    <row r="25" spans="1:9" ht="16.5" customHeight="1">
      <c r="A25" s="37"/>
      <c r="B25" s="158" t="s">
        <v>149</v>
      </c>
      <c r="C25" s="158"/>
      <c r="D25" s="158"/>
      <c r="E25" s="64" t="s">
        <v>9</v>
      </c>
      <c r="F25" s="40" t="s">
        <v>42</v>
      </c>
      <c r="G25" s="98">
        <v>0</v>
      </c>
      <c r="H25" s="39">
        <v>0</v>
      </c>
      <c r="I25" s="26">
        <f t="shared" si="0"/>
        <v>0</v>
      </c>
    </row>
    <row r="26" spans="1:9" ht="15.75" customHeight="1">
      <c r="A26" s="37"/>
      <c r="B26" s="158" t="s">
        <v>77</v>
      </c>
      <c r="C26" s="158"/>
      <c r="D26" s="158"/>
      <c r="E26" s="64" t="s">
        <v>9</v>
      </c>
      <c r="F26" s="40" t="s">
        <v>42</v>
      </c>
      <c r="G26" s="98">
        <v>0</v>
      </c>
      <c r="H26" s="39">
        <v>0</v>
      </c>
      <c r="I26" s="26">
        <f t="shared" si="0"/>
        <v>0</v>
      </c>
    </row>
    <row r="27" spans="1:9" ht="26.25" customHeight="1">
      <c r="A27" s="37"/>
      <c r="B27" s="198" t="s">
        <v>150</v>
      </c>
      <c r="C27" s="198"/>
      <c r="D27" s="198"/>
      <c r="E27" s="60" t="s">
        <v>33</v>
      </c>
      <c r="F27" s="40" t="s">
        <v>42</v>
      </c>
      <c r="G27" s="39">
        <v>1.54</v>
      </c>
      <c r="H27" s="39">
        <v>1.64</v>
      </c>
      <c r="I27" s="26">
        <f t="shared" si="0"/>
        <v>314467</v>
      </c>
    </row>
    <row r="28" spans="1:9" ht="15.75" hidden="1">
      <c r="A28" s="37"/>
      <c r="B28" s="183" t="s">
        <v>78</v>
      </c>
      <c r="C28" s="184"/>
      <c r="D28" s="185"/>
      <c r="E28" s="64" t="s">
        <v>9</v>
      </c>
      <c r="F28" s="40"/>
      <c r="G28" s="39"/>
      <c r="H28" s="39"/>
      <c r="I28" s="26">
        <f t="shared" si="0"/>
        <v>0</v>
      </c>
    </row>
    <row r="29" spans="1:9" ht="15.75" hidden="1">
      <c r="A29" s="37"/>
      <c r="B29" s="183" t="s">
        <v>79</v>
      </c>
      <c r="C29" s="184"/>
      <c r="D29" s="185"/>
      <c r="E29" s="60"/>
      <c r="F29" s="40"/>
      <c r="G29" s="39"/>
      <c r="H29" s="39"/>
      <c r="I29" s="26">
        <f t="shared" si="0"/>
        <v>0</v>
      </c>
    </row>
    <row r="30" spans="1:9" ht="15.75">
      <c r="A30" s="37"/>
      <c r="B30" s="204" t="s">
        <v>29</v>
      </c>
      <c r="C30" s="205"/>
      <c r="D30" s="206"/>
      <c r="E30" s="7"/>
      <c r="F30" s="40"/>
      <c r="G30" s="11">
        <f>SUM(G15:G29)</f>
        <v>12.829999999999998</v>
      </c>
      <c r="H30" s="11">
        <f>SUM(H15:H29)</f>
        <v>13.66</v>
      </c>
      <c r="I30" s="26">
        <f t="shared" si="0"/>
        <v>2619576</v>
      </c>
    </row>
    <row r="31" spans="1:9" ht="16.5" customHeight="1">
      <c r="A31" s="32" t="s">
        <v>58</v>
      </c>
      <c r="B31" s="180" t="s">
        <v>151</v>
      </c>
      <c r="C31" s="181"/>
      <c r="D31" s="181"/>
      <c r="E31" s="117" t="s">
        <v>152</v>
      </c>
      <c r="F31" s="118" t="s">
        <v>42</v>
      </c>
      <c r="G31" s="14">
        <v>1.54</v>
      </c>
      <c r="H31" s="14">
        <v>1.64</v>
      </c>
      <c r="I31" s="26">
        <f t="shared" si="0"/>
        <v>314467</v>
      </c>
    </row>
    <row r="32" spans="1:9" ht="15.75">
      <c r="A32" s="32" t="s">
        <v>59</v>
      </c>
      <c r="B32" s="221" t="s">
        <v>153</v>
      </c>
      <c r="C32" s="222"/>
      <c r="D32" s="223"/>
      <c r="E32" s="10"/>
      <c r="F32" s="119"/>
      <c r="G32" s="11">
        <f>SUM(G30:G31)</f>
        <v>14.369999999999997</v>
      </c>
      <c r="H32" s="11">
        <f>SUM(H30:H31)</f>
        <v>15.3</v>
      </c>
      <c r="I32" s="26">
        <f t="shared" si="0"/>
        <v>2934043</v>
      </c>
    </row>
    <row r="33" spans="1:9" ht="17.25" customHeight="1" thickBot="1">
      <c r="A33" s="97">
        <v>3</v>
      </c>
      <c r="B33" s="211" t="s">
        <v>154</v>
      </c>
      <c r="C33" s="212"/>
      <c r="D33" s="213"/>
      <c r="E33" s="88" t="s">
        <v>120</v>
      </c>
      <c r="F33" s="47" t="s">
        <v>42</v>
      </c>
      <c r="G33" s="120">
        <v>0.8</v>
      </c>
      <c r="H33" s="88">
        <v>0.85</v>
      </c>
      <c r="I33" s="101">
        <f t="shared" si="0"/>
        <v>163167</v>
      </c>
    </row>
    <row r="34" spans="1:6" ht="42" customHeight="1">
      <c r="A34" s="224" t="s">
        <v>155</v>
      </c>
      <c r="B34" s="224"/>
      <c r="C34" s="224"/>
      <c r="D34" s="224"/>
      <c r="E34" s="224"/>
      <c r="F34" s="121"/>
    </row>
    <row r="35" spans="1:6" ht="15.75" customHeight="1">
      <c r="A35" s="83"/>
      <c r="B35" s="225"/>
      <c r="C35" s="225"/>
      <c r="D35" s="225"/>
      <c r="E35" s="225"/>
      <c r="F35" s="121"/>
    </row>
    <row r="37" spans="2:10" ht="15.75">
      <c r="B37" s="21" t="s">
        <v>156</v>
      </c>
      <c r="E37" s="203" t="s">
        <v>157</v>
      </c>
      <c r="F37" s="203"/>
      <c r="G37" s="203"/>
      <c r="H37" s="203"/>
      <c r="I37" s="220"/>
      <c r="J37" s="220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2">
      <selection activeCell="I4" sqref="I1:I16384"/>
    </sheetView>
  </sheetViews>
  <sheetFormatPr defaultColWidth="9.00390625" defaultRowHeight="15.75"/>
  <cols>
    <col min="1" max="1" width="6.875" style="0" customWidth="1"/>
    <col min="2" max="2" width="32.125" style="0" customWidth="1"/>
    <col min="3" max="3" width="5.25390625" style="0" customWidth="1"/>
    <col min="4" max="4" width="27.875" style="0" customWidth="1"/>
    <col min="5" max="5" width="19.125" style="0" customWidth="1"/>
    <col min="6" max="6" width="22.50390625" style="0" hidden="1" customWidth="1"/>
    <col min="7" max="7" width="9.25390625" style="0" hidden="1" customWidth="1"/>
    <col min="8" max="8" width="11.00390625" style="0" bestFit="1" customWidth="1"/>
    <col min="9" max="9" width="11.625" style="0" hidden="1" customWidth="1"/>
    <col min="10" max="10" width="26.50390625" style="0" customWidth="1"/>
    <col min="11" max="11" width="1.875" style="0" hidden="1" customWidth="1"/>
    <col min="12" max="12" width="12.625" style="0" hidden="1" customWidth="1"/>
  </cols>
  <sheetData>
    <row r="1" spans="1:10" ht="110.25" customHeight="1">
      <c r="A1" s="197" t="s">
        <v>180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45.75" customHeight="1">
      <c r="A2" s="167" t="s">
        <v>159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6" ht="28.5" customHeight="1">
      <c r="A3" s="1"/>
      <c r="B3" s="1" t="s">
        <v>171</v>
      </c>
      <c r="C3" s="2"/>
      <c r="D3" s="108" t="s">
        <v>140</v>
      </c>
      <c r="E3" s="109">
        <v>16481.54</v>
      </c>
      <c r="F3" s="2"/>
    </row>
    <row r="4" spans="2:6" ht="15.75">
      <c r="B4" s="3" t="s">
        <v>1</v>
      </c>
      <c r="C4" s="110">
        <v>9</v>
      </c>
      <c r="D4" s="2" t="s">
        <v>2</v>
      </c>
      <c r="E4" s="4" t="s">
        <v>132</v>
      </c>
      <c r="F4" s="2"/>
    </row>
    <row r="5" spans="2:7" ht="15.75">
      <c r="B5" s="3" t="s">
        <v>3</v>
      </c>
      <c r="C5" s="4">
        <v>5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6.5" customHeight="1">
      <c r="A7" s="12" t="s">
        <v>36</v>
      </c>
      <c r="B7" s="168" t="s">
        <v>63</v>
      </c>
      <c r="C7" s="169"/>
      <c r="D7" s="163"/>
      <c r="E7" s="6" t="s">
        <v>6</v>
      </c>
      <c r="F7" s="6" t="s">
        <v>7</v>
      </c>
      <c r="G7" s="124" t="s">
        <v>160</v>
      </c>
      <c r="H7" s="164" t="s">
        <v>161</v>
      </c>
      <c r="I7" s="165"/>
      <c r="J7" s="166"/>
      <c r="K7" s="24">
        <v>1</v>
      </c>
      <c r="L7" s="125" t="s">
        <v>162</v>
      </c>
    </row>
    <row r="8" spans="1:10" ht="15.75">
      <c r="A8" s="13">
        <v>1</v>
      </c>
      <c r="B8" s="194"/>
      <c r="C8" s="195"/>
      <c r="D8" s="195"/>
      <c r="E8" s="195"/>
      <c r="F8" s="196"/>
      <c r="G8" s="126"/>
      <c r="H8" s="127" t="s">
        <v>65</v>
      </c>
      <c r="I8" s="53" t="s">
        <v>66</v>
      </c>
      <c r="J8" s="53" t="s">
        <v>67</v>
      </c>
    </row>
    <row r="9" spans="1:10" ht="15.75" customHeight="1">
      <c r="A9" s="13"/>
      <c r="B9" s="194" t="s">
        <v>68</v>
      </c>
      <c r="C9" s="195"/>
      <c r="D9" s="195"/>
      <c r="E9" s="195"/>
      <c r="F9" s="196"/>
      <c r="G9" s="25"/>
      <c r="H9" s="25"/>
      <c r="I9" s="25"/>
      <c r="J9" s="53"/>
    </row>
    <row r="10" spans="1:10" ht="15.75" customHeight="1">
      <c r="A10" s="54"/>
      <c r="B10" s="244" t="s">
        <v>69</v>
      </c>
      <c r="C10" s="245"/>
      <c r="D10" s="245"/>
      <c r="E10" s="245"/>
      <c r="F10" s="246"/>
      <c r="G10" s="8"/>
      <c r="H10" s="55">
        <v>324407.2</v>
      </c>
      <c r="I10" s="33"/>
      <c r="J10" s="56">
        <f>H10+I10</f>
        <v>324407.2</v>
      </c>
    </row>
    <row r="11" spans="1:10" ht="15.75" customHeight="1">
      <c r="A11" s="54"/>
      <c r="B11" s="244" t="s">
        <v>70</v>
      </c>
      <c r="C11" s="245"/>
      <c r="D11" s="245"/>
      <c r="E11" s="245"/>
      <c r="F11" s="246"/>
      <c r="G11" s="8"/>
      <c r="H11" s="9">
        <v>17899.93</v>
      </c>
      <c r="I11" s="33"/>
      <c r="J11" s="56">
        <f>H11+I11</f>
        <v>17899.93</v>
      </c>
    </row>
    <row r="12" spans="1:10" ht="15.75" customHeight="1">
      <c r="A12" s="13"/>
      <c r="B12" s="244" t="s">
        <v>71</v>
      </c>
      <c r="C12" s="245"/>
      <c r="D12" s="245"/>
      <c r="E12" s="245"/>
      <c r="F12" s="246"/>
      <c r="G12" s="8"/>
      <c r="H12" s="55"/>
      <c r="I12" s="33">
        <v>46277.42</v>
      </c>
      <c r="J12" s="56">
        <f>H12+I12</f>
        <v>46277.42</v>
      </c>
    </row>
    <row r="13" spans="1:10" ht="15.75" customHeight="1">
      <c r="A13" s="13"/>
      <c r="B13" s="244" t="s">
        <v>111</v>
      </c>
      <c r="C13" s="245"/>
      <c r="D13" s="245"/>
      <c r="E13" s="245"/>
      <c r="F13" s="246"/>
      <c r="G13" s="8"/>
      <c r="H13" s="55">
        <v>0</v>
      </c>
      <c r="I13" s="57">
        <v>11500</v>
      </c>
      <c r="J13" s="56">
        <f>H13+I13</f>
        <v>11500</v>
      </c>
    </row>
    <row r="14" spans="1:10" ht="15.75" customHeight="1">
      <c r="A14" s="13"/>
      <c r="B14" s="247" t="s">
        <v>72</v>
      </c>
      <c r="C14" s="248"/>
      <c r="D14" s="248"/>
      <c r="E14" s="248"/>
      <c r="F14" s="249"/>
      <c r="G14" s="8"/>
      <c r="H14" s="58">
        <f>SUM(H10:H13)</f>
        <v>342307.13</v>
      </c>
      <c r="I14" s="59">
        <f>SUM(I10:I13)</f>
        <v>57777.42</v>
      </c>
      <c r="J14" s="58">
        <f>SUM(J10:J13)</f>
        <v>400084.55</v>
      </c>
    </row>
    <row r="15" spans="1:10" ht="18.75" customHeight="1">
      <c r="A15" s="13">
        <v>2</v>
      </c>
      <c r="B15" s="250" t="s">
        <v>37</v>
      </c>
      <c r="C15" s="251"/>
      <c r="D15" s="251"/>
      <c r="E15" s="251"/>
      <c r="F15" s="252"/>
      <c r="G15" s="8"/>
      <c r="H15" s="55"/>
      <c r="I15" s="33"/>
      <c r="J15" s="22"/>
    </row>
    <row r="16" spans="1:10" ht="15.75">
      <c r="A16" s="13" t="s">
        <v>54</v>
      </c>
      <c r="B16" s="128" t="s">
        <v>38</v>
      </c>
      <c r="C16" s="128"/>
      <c r="D16" s="128"/>
      <c r="E16" s="128"/>
      <c r="F16" s="129"/>
      <c r="G16" s="127"/>
      <c r="H16" s="127"/>
      <c r="I16" s="50"/>
      <c r="J16" s="53"/>
    </row>
    <row r="17" spans="1:10" ht="33" customHeight="1">
      <c r="A17" s="16"/>
      <c r="B17" s="241" t="s">
        <v>163</v>
      </c>
      <c r="C17" s="242"/>
      <c r="D17" s="243"/>
      <c r="E17" s="130" t="s">
        <v>31</v>
      </c>
      <c r="F17" s="38" t="s">
        <v>23</v>
      </c>
      <c r="G17" s="39">
        <v>1.29</v>
      </c>
      <c r="H17" s="61">
        <f>ROUND($E$3*G17*$K$7,2)</f>
        <v>21261.19</v>
      </c>
      <c r="I17" s="62"/>
      <c r="J17" s="63">
        <f>SUM(H17:I17)</f>
        <v>21261.19</v>
      </c>
    </row>
    <row r="18" spans="1:10" ht="17.25" customHeight="1">
      <c r="A18" s="13"/>
      <c r="B18" s="233" t="s">
        <v>17</v>
      </c>
      <c r="C18" s="234"/>
      <c r="D18" s="235"/>
      <c r="E18" s="130" t="s">
        <v>31</v>
      </c>
      <c r="F18" s="38" t="s">
        <v>18</v>
      </c>
      <c r="G18" s="39">
        <v>0.3</v>
      </c>
      <c r="H18" s="61">
        <f>ROUND($E$3*G18*$K$7,2)</f>
        <v>4944.46</v>
      </c>
      <c r="I18" s="62"/>
      <c r="J18" s="63">
        <f>SUM(H18:I18)</f>
        <v>4944.46</v>
      </c>
    </row>
    <row r="19" spans="1:10" ht="20.25" customHeight="1">
      <c r="A19" s="13"/>
      <c r="B19" s="238" t="s">
        <v>22</v>
      </c>
      <c r="C19" s="239"/>
      <c r="D19" s="240"/>
      <c r="E19" s="131" t="s">
        <v>73</v>
      </c>
      <c r="F19" s="40" t="s">
        <v>19</v>
      </c>
      <c r="G19" s="39">
        <v>1.05</v>
      </c>
      <c r="H19" s="61">
        <f>J19-I19</f>
        <v>1212.42</v>
      </c>
      <c r="I19" s="62"/>
      <c r="J19" s="65">
        <v>1212.42</v>
      </c>
    </row>
    <row r="20" spans="1:10" ht="20.25" customHeight="1">
      <c r="A20" s="16"/>
      <c r="B20" s="241" t="s">
        <v>30</v>
      </c>
      <c r="C20" s="242"/>
      <c r="D20" s="243"/>
      <c r="E20" s="132" t="s">
        <v>9</v>
      </c>
      <c r="F20" s="41" t="s">
        <v>10</v>
      </c>
      <c r="G20" s="39">
        <v>0.54</v>
      </c>
      <c r="H20" s="61">
        <f>ROUND($E$3*G20*$K$7,2)</f>
        <v>8900.03</v>
      </c>
      <c r="I20" s="62"/>
      <c r="J20" s="63">
        <f>SUM(H20:I20)</f>
        <v>8900.03</v>
      </c>
    </row>
    <row r="21" spans="1:10" ht="60.75" customHeight="1">
      <c r="A21" s="13"/>
      <c r="B21" s="238" t="s">
        <v>26</v>
      </c>
      <c r="C21" s="239"/>
      <c r="D21" s="240"/>
      <c r="E21" s="131" t="s">
        <v>74</v>
      </c>
      <c r="F21" s="40" t="s">
        <v>24</v>
      </c>
      <c r="G21" s="39">
        <v>0.13</v>
      </c>
      <c r="H21" s="61">
        <f>J21-I21</f>
        <v>0</v>
      </c>
      <c r="I21" s="62"/>
      <c r="J21" s="65">
        <v>0</v>
      </c>
    </row>
    <row r="22" spans="1:10" ht="20.25" customHeight="1">
      <c r="A22" s="16"/>
      <c r="B22" s="238" t="s">
        <v>11</v>
      </c>
      <c r="C22" s="239"/>
      <c r="D22" s="240"/>
      <c r="E22" s="131" t="s">
        <v>9</v>
      </c>
      <c r="F22" s="40" t="s">
        <v>12</v>
      </c>
      <c r="G22" s="39">
        <v>2.35</v>
      </c>
      <c r="H22" s="61">
        <f>ROUND($E$3*G22*$K$7,2)</f>
        <v>38731.62</v>
      </c>
      <c r="I22" s="62"/>
      <c r="J22" s="65">
        <f>H22</f>
        <v>38731.62</v>
      </c>
    </row>
    <row r="23" spans="1:10" ht="20.25" customHeight="1">
      <c r="A23" s="16"/>
      <c r="B23" s="238" t="s">
        <v>25</v>
      </c>
      <c r="C23" s="239"/>
      <c r="D23" s="240"/>
      <c r="E23" s="133" t="s">
        <v>13</v>
      </c>
      <c r="F23" s="35" t="s">
        <v>14</v>
      </c>
      <c r="G23" s="39">
        <v>0.05</v>
      </c>
      <c r="H23" s="61">
        <f>J23-I23</f>
        <v>0</v>
      </c>
      <c r="I23" s="62"/>
      <c r="J23" s="65">
        <v>0</v>
      </c>
    </row>
    <row r="24" spans="1:10" ht="28.5" customHeight="1">
      <c r="A24" s="13"/>
      <c r="B24" s="238" t="s">
        <v>40</v>
      </c>
      <c r="C24" s="239"/>
      <c r="D24" s="240"/>
      <c r="E24" s="130" t="s">
        <v>33</v>
      </c>
      <c r="F24" s="68" t="s">
        <v>75</v>
      </c>
      <c r="G24" s="39">
        <v>1.63</v>
      </c>
      <c r="H24" s="61">
        <f aca="true" t="shared" si="0" ref="H24:H29">ROUND($E$3*G24*$K$7,2)</f>
        <v>26864.91</v>
      </c>
      <c r="I24" s="62"/>
      <c r="J24" s="63">
        <f aca="true" t="shared" si="1" ref="J24:J29">SUM(H24:I24)</f>
        <v>26864.91</v>
      </c>
    </row>
    <row r="25" spans="1:10" ht="26.25" customHeight="1">
      <c r="A25" s="13"/>
      <c r="B25" s="233" t="s">
        <v>15</v>
      </c>
      <c r="C25" s="234"/>
      <c r="D25" s="235"/>
      <c r="E25" s="130" t="s">
        <v>33</v>
      </c>
      <c r="F25" s="68" t="s">
        <v>75</v>
      </c>
      <c r="G25" s="39">
        <v>0.56</v>
      </c>
      <c r="H25" s="61">
        <v>8758.94</v>
      </c>
      <c r="I25" s="62"/>
      <c r="J25" s="63">
        <f t="shared" si="1"/>
        <v>8758.94</v>
      </c>
    </row>
    <row r="26" spans="1:10" ht="30" customHeight="1">
      <c r="A26" s="13"/>
      <c r="B26" s="188" t="s">
        <v>34</v>
      </c>
      <c r="C26" s="236"/>
      <c r="D26" s="237"/>
      <c r="E26" s="130" t="s">
        <v>33</v>
      </c>
      <c r="F26" s="68" t="s">
        <v>75</v>
      </c>
      <c r="G26" s="39">
        <f>4.38-G27-G28</f>
        <v>4.38</v>
      </c>
      <c r="H26" s="61">
        <f t="shared" si="0"/>
        <v>72189.15</v>
      </c>
      <c r="I26" s="71"/>
      <c r="J26" s="63">
        <f t="shared" si="1"/>
        <v>72189.15</v>
      </c>
    </row>
    <row r="27" spans="1:10" ht="26.25" customHeight="1">
      <c r="A27" s="16"/>
      <c r="B27" s="238" t="s">
        <v>76</v>
      </c>
      <c r="C27" s="239"/>
      <c r="D27" s="240"/>
      <c r="E27" s="130" t="s">
        <v>33</v>
      </c>
      <c r="F27" s="68" t="s">
        <v>75</v>
      </c>
      <c r="G27" s="98">
        <v>0</v>
      </c>
      <c r="H27" s="61">
        <f t="shared" si="0"/>
        <v>0</v>
      </c>
      <c r="I27" s="71"/>
      <c r="J27" s="63">
        <f t="shared" si="1"/>
        <v>0</v>
      </c>
    </row>
    <row r="28" spans="1:10" ht="17.25" customHeight="1">
      <c r="A28" s="13"/>
      <c r="B28" s="238" t="s">
        <v>77</v>
      </c>
      <c r="C28" s="239"/>
      <c r="D28" s="240"/>
      <c r="E28" s="131" t="s">
        <v>9</v>
      </c>
      <c r="F28" s="68" t="s">
        <v>75</v>
      </c>
      <c r="G28" s="98">
        <v>0</v>
      </c>
      <c r="H28" s="61">
        <f t="shared" si="0"/>
        <v>0</v>
      </c>
      <c r="I28" s="71"/>
      <c r="J28" s="63">
        <f t="shared" si="1"/>
        <v>0</v>
      </c>
    </row>
    <row r="29" spans="1:10" ht="29.25" customHeight="1">
      <c r="A29" s="13"/>
      <c r="B29" s="230" t="s">
        <v>20</v>
      </c>
      <c r="C29" s="231"/>
      <c r="D29" s="232"/>
      <c r="E29" s="64" t="s">
        <v>33</v>
      </c>
      <c r="F29" s="68" t="s">
        <v>75</v>
      </c>
      <c r="G29" s="39">
        <v>1.54</v>
      </c>
      <c r="H29" s="61">
        <f t="shared" si="0"/>
        <v>25381.57</v>
      </c>
      <c r="I29" s="62"/>
      <c r="J29" s="63">
        <f t="shared" si="1"/>
        <v>25381.57</v>
      </c>
    </row>
    <row r="30" spans="1:10" ht="15.75">
      <c r="A30" s="13"/>
      <c r="B30" s="176"/>
      <c r="C30" s="177"/>
      <c r="D30" s="178"/>
      <c r="E30" s="131"/>
      <c r="F30" s="68"/>
      <c r="G30" s="35"/>
      <c r="H30" s="69"/>
      <c r="I30" s="57"/>
      <c r="J30" s="72"/>
    </row>
    <row r="31" spans="1:10" ht="15.75">
      <c r="A31" s="13"/>
      <c r="B31" s="168" t="s">
        <v>29</v>
      </c>
      <c r="C31" s="169"/>
      <c r="D31" s="163"/>
      <c r="E31" s="13"/>
      <c r="F31" s="68"/>
      <c r="G31" s="14">
        <f>SUM(G17:G29)</f>
        <v>13.82</v>
      </c>
      <c r="H31" s="81">
        <f>SUM(H17:H30)</f>
        <v>208244.29</v>
      </c>
      <c r="I31" s="59"/>
      <c r="J31" s="81">
        <f>SUM(J17:J30)</f>
        <v>208244.29</v>
      </c>
    </row>
    <row r="32" spans="1:10" ht="15.75" customHeight="1" hidden="1">
      <c r="A32" s="13"/>
      <c r="B32" s="183" t="s">
        <v>78</v>
      </c>
      <c r="C32" s="184"/>
      <c r="D32" s="185"/>
      <c r="E32" s="131" t="s">
        <v>9</v>
      </c>
      <c r="F32" s="68"/>
      <c r="G32" s="35"/>
      <c r="H32" s="69"/>
      <c r="I32" s="57"/>
      <c r="J32" s="72"/>
    </row>
    <row r="33" spans="1:10" ht="25.5" customHeight="1" hidden="1">
      <c r="A33" s="13"/>
      <c r="B33" s="183" t="s">
        <v>79</v>
      </c>
      <c r="C33" s="184"/>
      <c r="D33" s="185"/>
      <c r="E33" s="130" t="s">
        <v>33</v>
      </c>
      <c r="F33" s="68"/>
      <c r="G33" s="35"/>
      <c r="H33" s="69"/>
      <c r="I33" s="57"/>
      <c r="J33" s="72"/>
    </row>
    <row r="34" spans="1:10" ht="15.75">
      <c r="A34" s="13"/>
      <c r="B34" s="176"/>
      <c r="C34" s="177"/>
      <c r="D34" s="178"/>
      <c r="E34" s="131"/>
      <c r="F34" s="68"/>
      <c r="G34" s="35"/>
      <c r="H34" s="69"/>
      <c r="I34" s="57"/>
      <c r="J34" s="72"/>
    </row>
    <row r="35" spans="1:10" ht="15" customHeight="1">
      <c r="A35" s="13" t="s">
        <v>58</v>
      </c>
      <c r="B35" s="180" t="s">
        <v>80</v>
      </c>
      <c r="C35" s="181"/>
      <c r="D35" s="181"/>
      <c r="E35" s="182"/>
      <c r="F35" s="68" t="s">
        <v>75</v>
      </c>
      <c r="G35" s="14">
        <f>H35/E3/$K$7</f>
        <v>0</v>
      </c>
      <c r="H35" s="134">
        <v>0</v>
      </c>
      <c r="I35" s="75"/>
      <c r="J35" s="81">
        <f>SUM(H35:I35)</f>
        <v>0</v>
      </c>
    </row>
    <row r="36" spans="1:10" ht="14.25" customHeight="1">
      <c r="A36" s="15"/>
      <c r="B36" s="226" t="s">
        <v>39</v>
      </c>
      <c r="C36" s="227"/>
      <c r="D36" s="227"/>
      <c r="E36" s="227"/>
      <c r="F36" s="228"/>
      <c r="G36" s="14">
        <f>SUM(G31:G35)</f>
        <v>13.82</v>
      </c>
      <c r="H36" s="135">
        <f>SUM(H31:H35)</f>
        <v>208244.29</v>
      </c>
      <c r="I36" s="136"/>
      <c r="J36" s="136">
        <f>SUM(J31:J35)</f>
        <v>208244.29</v>
      </c>
    </row>
    <row r="37" spans="1:10" ht="15.75">
      <c r="A37" s="13" t="s">
        <v>59</v>
      </c>
      <c r="B37" s="226" t="s">
        <v>81</v>
      </c>
      <c r="C37" s="227"/>
      <c r="D37" s="227"/>
      <c r="E37" s="227"/>
      <c r="F37" s="228"/>
      <c r="G37" s="14">
        <f>H37/E3/$K$7</f>
        <v>0</v>
      </c>
      <c r="H37" s="78">
        <v>0</v>
      </c>
      <c r="I37" s="78"/>
      <c r="J37" s="137">
        <f>SUM(H37:I37)</f>
        <v>0</v>
      </c>
    </row>
    <row r="38" spans="1:10" ht="24.75" customHeight="1">
      <c r="A38" s="15"/>
      <c r="B38" s="226" t="s">
        <v>82</v>
      </c>
      <c r="C38" s="227"/>
      <c r="D38" s="227"/>
      <c r="E38" s="227"/>
      <c r="F38" s="228"/>
      <c r="G38" s="14">
        <f>SUM(G36:G37)</f>
        <v>13.82</v>
      </c>
      <c r="H38" s="135">
        <f>SUM(H36:H37)</f>
        <v>208244.29</v>
      </c>
      <c r="I38" s="136"/>
      <c r="J38" s="136">
        <f>SUM(J36:J37)</f>
        <v>208244.29</v>
      </c>
    </row>
    <row r="39" spans="1:10" ht="27" customHeight="1">
      <c r="A39" s="13">
        <v>3</v>
      </c>
      <c r="B39" s="172" t="s">
        <v>164</v>
      </c>
      <c r="C39" s="173"/>
      <c r="D39" s="173"/>
      <c r="E39" s="173"/>
      <c r="F39" s="173"/>
      <c r="G39" s="122"/>
      <c r="H39" s="61">
        <f>H14-H38</f>
        <v>134062.84</v>
      </c>
      <c r="I39" s="61"/>
      <c r="J39" s="59">
        <f>J14-J38</f>
        <v>191840.25999999998</v>
      </c>
    </row>
    <row r="40" spans="2:6" ht="15.75">
      <c r="B40" s="21"/>
      <c r="F40" s="21"/>
    </row>
    <row r="41" spans="2:10" ht="15.75" customHeight="1">
      <c r="B41" s="229" t="s">
        <v>165</v>
      </c>
      <c r="C41" s="229"/>
      <c r="D41" s="229"/>
      <c r="E41" s="229"/>
      <c r="F41" s="229"/>
      <c r="G41" s="229"/>
      <c r="H41" s="229"/>
      <c r="I41" s="229"/>
      <c r="J41" s="229"/>
    </row>
    <row r="42" spans="2:4" ht="25.5" customHeight="1">
      <c r="B42" s="21"/>
      <c r="C42" s="21"/>
      <c r="D42" s="21"/>
    </row>
    <row r="43" spans="2:4" ht="15.75">
      <c r="B43" s="123" t="s">
        <v>166</v>
      </c>
      <c r="C43" s="123"/>
      <c r="D43" s="123"/>
    </row>
    <row r="44" spans="2:4" ht="15.75">
      <c r="B44" s="82" t="s">
        <v>167</v>
      </c>
      <c r="C44" s="82"/>
      <c r="D44" s="123"/>
    </row>
    <row r="45" spans="2:4" ht="15.75" customHeight="1">
      <c r="B45" s="175" t="s">
        <v>168</v>
      </c>
      <c r="C45" s="175"/>
      <c r="D45" s="175"/>
    </row>
    <row r="48" ht="15.75">
      <c r="B48" t="s">
        <v>169</v>
      </c>
    </row>
    <row r="49" ht="15.75">
      <c r="B49" t="s">
        <v>170</v>
      </c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F39"/>
    <mergeCell ref="B41:J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J1">
      <selection activeCell="A8" sqref="A8"/>
    </sheetView>
  </sheetViews>
  <sheetFormatPr defaultColWidth="9.00390625" defaultRowHeight="15.75"/>
  <cols>
    <col min="1" max="1" width="11.875" style="0" customWidth="1"/>
    <col min="2" max="2" width="10.2539062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54" t="s">
        <v>181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5.75" customHeight="1">
      <c r="A2" s="256" t="s">
        <v>172</v>
      </c>
      <c r="B2" s="258" t="s">
        <v>87</v>
      </c>
      <c r="C2" s="258" t="s">
        <v>98</v>
      </c>
      <c r="D2" s="258"/>
      <c r="E2" s="258"/>
      <c r="F2" s="258"/>
      <c r="G2" s="258"/>
      <c r="H2" s="258"/>
      <c r="I2" s="258"/>
      <c r="J2" s="268" t="s">
        <v>99</v>
      </c>
      <c r="K2" s="268"/>
      <c r="L2" s="268"/>
      <c r="M2" s="269" t="s">
        <v>100</v>
      </c>
      <c r="N2" s="258" t="s">
        <v>88</v>
      </c>
      <c r="O2" s="258"/>
      <c r="P2" s="258"/>
      <c r="Q2" s="258"/>
      <c r="R2" s="258"/>
      <c r="S2" s="271" t="s">
        <v>173</v>
      </c>
    </row>
    <row r="3" spans="1:19" ht="15.75" customHeight="1">
      <c r="A3" s="257"/>
      <c r="B3" s="259"/>
      <c r="C3" s="260" t="s">
        <v>89</v>
      </c>
      <c r="D3" s="261"/>
      <c r="E3" s="262"/>
      <c r="F3" s="260" t="s">
        <v>90</v>
      </c>
      <c r="G3" s="261"/>
      <c r="H3" s="262"/>
      <c r="I3" s="263" t="s">
        <v>91</v>
      </c>
      <c r="J3" s="264" t="s">
        <v>101</v>
      </c>
      <c r="K3" s="266" t="s">
        <v>102</v>
      </c>
      <c r="L3" s="264" t="s">
        <v>103</v>
      </c>
      <c r="M3" s="270"/>
      <c r="N3" s="263" t="s">
        <v>104</v>
      </c>
      <c r="O3" s="259" t="s">
        <v>92</v>
      </c>
      <c r="P3" s="259" t="s">
        <v>93</v>
      </c>
      <c r="Q3" s="259" t="s">
        <v>94</v>
      </c>
      <c r="R3" s="259" t="s">
        <v>95</v>
      </c>
      <c r="S3" s="272"/>
    </row>
    <row r="4" spans="1:19" ht="47.25" customHeight="1">
      <c r="A4" s="257"/>
      <c r="B4" s="259"/>
      <c r="C4" s="140" t="s">
        <v>96</v>
      </c>
      <c r="D4" s="139" t="s">
        <v>94</v>
      </c>
      <c r="E4" s="139" t="s">
        <v>95</v>
      </c>
      <c r="F4" s="140" t="s">
        <v>96</v>
      </c>
      <c r="G4" s="139" t="s">
        <v>94</v>
      </c>
      <c r="H4" s="139" t="s">
        <v>95</v>
      </c>
      <c r="I4" s="263"/>
      <c r="J4" s="265"/>
      <c r="K4" s="267"/>
      <c r="L4" s="265"/>
      <c r="M4" s="267"/>
      <c r="N4" s="259"/>
      <c r="O4" s="259"/>
      <c r="P4" s="259"/>
      <c r="Q4" s="259"/>
      <c r="R4" s="259"/>
      <c r="S4" s="272"/>
    </row>
    <row r="5" spans="1:19" ht="31.5">
      <c r="A5" s="138">
        <v>1</v>
      </c>
      <c r="B5" s="139">
        <v>2</v>
      </c>
      <c r="C5" s="140">
        <v>3</v>
      </c>
      <c r="D5" s="139">
        <v>4</v>
      </c>
      <c r="E5" s="139" t="s">
        <v>105</v>
      </c>
      <c r="F5" s="140">
        <v>6</v>
      </c>
      <c r="G5" s="139">
        <v>7</v>
      </c>
      <c r="H5" s="139" t="s">
        <v>106</v>
      </c>
      <c r="I5" s="140" t="s">
        <v>107</v>
      </c>
      <c r="J5" s="139">
        <v>10</v>
      </c>
      <c r="K5" s="139">
        <v>11</v>
      </c>
      <c r="L5" s="140">
        <v>12</v>
      </c>
      <c r="M5" s="140" t="s">
        <v>108</v>
      </c>
      <c r="N5" s="139">
        <v>14</v>
      </c>
      <c r="O5" s="140">
        <v>15</v>
      </c>
      <c r="P5" s="139">
        <v>16</v>
      </c>
      <c r="Q5" s="139">
        <v>17</v>
      </c>
      <c r="R5" s="140" t="s">
        <v>109</v>
      </c>
      <c r="S5" s="141" t="s">
        <v>110</v>
      </c>
    </row>
    <row r="6" spans="1:19" ht="15.75">
      <c r="A6" s="142">
        <v>-1850865.13</v>
      </c>
      <c r="B6" s="143" t="s">
        <v>174</v>
      </c>
      <c r="C6" s="144">
        <v>165305.73</v>
      </c>
      <c r="D6" s="144">
        <v>11557.26</v>
      </c>
      <c r="E6" s="144">
        <f>C6+D6</f>
        <v>176862.99000000002</v>
      </c>
      <c r="F6" s="144">
        <v>324407.2</v>
      </c>
      <c r="G6" s="144">
        <v>17899.93</v>
      </c>
      <c r="H6" s="144">
        <f>SUM(F6:G6)</f>
        <v>342307.13</v>
      </c>
      <c r="I6" s="145">
        <f>E6-H6</f>
        <v>-165444.13999999998</v>
      </c>
      <c r="J6" s="144">
        <f>'отчет 2012 новый'!I12</f>
        <v>46277.42</v>
      </c>
      <c r="K6" s="144">
        <f>'отчет 2012 новый'!I13</f>
        <v>11500</v>
      </c>
      <c r="L6" s="144">
        <v>0</v>
      </c>
      <c r="M6" s="144">
        <f>H6+J6+K6+L6</f>
        <v>400084.55</v>
      </c>
      <c r="N6" s="144">
        <f>'отчет 2012 новый'!J29</f>
        <v>25381.57</v>
      </c>
      <c r="O6" s="144">
        <f>'отчет 2012 новый'!J31-'отчет 2012 новый'!J29</f>
        <v>182862.72</v>
      </c>
      <c r="P6" s="144">
        <f>'отчет 2012 новый'!J35</f>
        <v>0</v>
      </c>
      <c r="Q6" s="145">
        <f>'отчет 2012 новый'!J37</f>
        <v>0</v>
      </c>
      <c r="R6" s="144">
        <f>SUM(N6:Q6)</f>
        <v>208244.29</v>
      </c>
      <c r="S6" s="146">
        <f>M6-R6</f>
        <v>191840.25999999998</v>
      </c>
    </row>
    <row r="7" spans="1:19" ht="15.75">
      <c r="A7" s="142">
        <f>A6+S6</f>
        <v>-1659024.8699999999</v>
      </c>
      <c r="B7" s="143"/>
      <c r="C7" s="144"/>
      <c r="D7" s="144"/>
      <c r="E7" s="144">
        <f>SUM(C7:D7)</f>
        <v>0</v>
      </c>
      <c r="F7" s="144"/>
      <c r="G7" s="144"/>
      <c r="H7" s="144">
        <f>SUM(F7:G7)</f>
        <v>0</v>
      </c>
      <c r="I7" s="145">
        <f>E7-H7</f>
        <v>0</v>
      </c>
      <c r="J7" s="144">
        <v>0</v>
      </c>
      <c r="K7" s="144">
        <v>0</v>
      </c>
      <c r="L7" s="144">
        <v>0</v>
      </c>
      <c r="M7" s="144">
        <f>H7+J7+K7+L7</f>
        <v>0</v>
      </c>
      <c r="N7" s="144"/>
      <c r="O7" s="144"/>
      <c r="P7" s="144"/>
      <c r="Q7" s="145">
        <v>0</v>
      </c>
      <c r="R7" s="144">
        <f>SUM(N7:Q7)</f>
        <v>0</v>
      </c>
      <c r="S7" s="146">
        <f>M7-R7</f>
        <v>0</v>
      </c>
    </row>
    <row r="8" spans="1:19" ht="15.75">
      <c r="A8" s="142"/>
      <c r="B8" s="143"/>
      <c r="C8" s="144"/>
      <c r="D8" s="144"/>
      <c r="E8" s="144">
        <f>SUM(C8:D8)</f>
        <v>0</v>
      </c>
      <c r="F8" s="144"/>
      <c r="G8" s="144"/>
      <c r="H8" s="144">
        <f>SUM(F8:G8)</f>
        <v>0</v>
      </c>
      <c r="I8" s="145">
        <f>E8-H8</f>
        <v>0</v>
      </c>
      <c r="J8" s="144">
        <v>0</v>
      </c>
      <c r="K8" s="144">
        <v>0</v>
      </c>
      <c r="L8" s="144">
        <v>0</v>
      </c>
      <c r="M8" s="144">
        <f>H8+J8+K8+L8</f>
        <v>0</v>
      </c>
      <c r="N8" s="144"/>
      <c r="O8" s="144"/>
      <c r="P8" s="144"/>
      <c r="Q8" s="145">
        <v>0</v>
      </c>
      <c r="R8" s="144">
        <f>SUM(N8:Q8)</f>
        <v>0</v>
      </c>
      <c r="S8" s="146">
        <f>M8-R8</f>
        <v>0</v>
      </c>
    </row>
    <row r="9" spans="1:19" ht="15.75">
      <c r="A9" s="142"/>
      <c r="B9" s="143"/>
      <c r="C9" s="144"/>
      <c r="D9" s="144"/>
      <c r="E9" s="144">
        <f>SUM(C9:D9)</f>
        <v>0</v>
      </c>
      <c r="F9" s="144"/>
      <c r="G9" s="144"/>
      <c r="H9" s="144">
        <f>SUM(F9:G9)</f>
        <v>0</v>
      </c>
      <c r="I9" s="145">
        <f>E9-H9</f>
        <v>0</v>
      </c>
      <c r="J9" s="144">
        <f>'[1]отчет 2011'!I12</f>
        <v>0</v>
      </c>
      <c r="K9" s="144">
        <f>'[1]отчет 2011'!I13</f>
        <v>0</v>
      </c>
      <c r="L9" s="144">
        <f>'[1]отчет 2011'!H13</f>
        <v>0</v>
      </c>
      <c r="M9" s="144">
        <f>H9+J9+K9+L9</f>
        <v>0</v>
      </c>
      <c r="N9" s="144"/>
      <c r="O9" s="144"/>
      <c r="P9" s="144"/>
      <c r="Q9" s="145">
        <v>0</v>
      </c>
      <c r="R9" s="144">
        <f>SUM(N9:Q9)</f>
        <v>0</v>
      </c>
      <c r="S9" s="146">
        <f>M9-R9</f>
        <v>0</v>
      </c>
    </row>
    <row r="10" spans="1:19" ht="15.75">
      <c r="A10" s="142"/>
      <c r="B10" s="143"/>
      <c r="C10" s="144"/>
      <c r="D10" s="144"/>
      <c r="E10" s="144">
        <f>SUM(C10:D10)</f>
        <v>0</v>
      </c>
      <c r="F10" s="144"/>
      <c r="G10" s="144"/>
      <c r="H10" s="144">
        <f>SUM(F10:G10)</f>
        <v>0</v>
      </c>
      <c r="I10" s="145">
        <f>E10-H10</f>
        <v>0</v>
      </c>
      <c r="J10" s="144">
        <v>0</v>
      </c>
      <c r="K10" s="144">
        <v>0</v>
      </c>
      <c r="L10" s="144">
        <v>0</v>
      </c>
      <c r="M10" s="144">
        <f>H10+J10+K10+L10</f>
        <v>0</v>
      </c>
      <c r="N10" s="144"/>
      <c r="O10" s="144"/>
      <c r="P10" s="144"/>
      <c r="Q10" s="145">
        <v>0</v>
      </c>
      <c r="R10" s="144">
        <f>SUM(N10:Q10)</f>
        <v>0</v>
      </c>
      <c r="S10" s="146">
        <f>M10-R10</f>
        <v>0</v>
      </c>
    </row>
    <row r="11" spans="1:19" ht="16.5" thickBot="1">
      <c r="A11" s="147"/>
      <c r="B11" s="148" t="s">
        <v>175</v>
      </c>
      <c r="C11" s="149">
        <f aca="true" t="shared" si="0" ref="C11:R11">SUM(C6:C10)</f>
        <v>165305.73</v>
      </c>
      <c r="D11" s="149">
        <f t="shared" si="0"/>
        <v>11557.26</v>
      </c>
      <c r="E11" s="149">
        <f t="shared" si="0"/>
        <v>176862.99000000002</v>
      </c>
      <c r="F11" s="149">
        <f t="shared" si="0"/>
        <v>324407.2</v>
      </c>
      <c r="G11" s="149">
        <f t="shared" si="0"/>
        <v>17899.93</v>
      </c>
      <c r="H11" s="149">
        <f t="shared" si="0"/>
        <v>342307.13</v>
      </c>
      <c r="I11" s="149">
        <f t="shared" si="0"/>
        <v>-165444.13999999998</v>
      </c>
      <c r="J11" s="149">
        <f t="shared" si="0"/>
        <v>46277.42</v>
      </c>
      <c r="K11" s="149">
        <f t="shared" si="0"/>
        <v>11500</v>
      </c>
      <c r="L11" s="149">
        <f t="shared" si="0"/>
        <v>0</v>
      </c>
      <c r="M11" s="149">
        <f t="shared" si="0"/>
        <v>400084.55</v>
      </c>
      <c r="N11" s="149">
        <f t="shared" si="0"/>
        <v>25381.57</v>
      </c>
      <c r="O11" s="149">
        <f t="shared" si="0"/>
        <v>182862.72</v>
      </c>
      <c r="P11" s="149">
        <f t="shared" si="0"/>
        <v>0</v>
      </c>
      <c r="Q11" s="149">
        <f t="shared" si="0"/>
        <v>0</v>
      </c>
      <c r="R11" s="149">
        <f t="shared" si="0"/>
        <v>208244.29</v>
      </c>
      <c r="S11" s="150">
        <f>A6+SUM(S6:S10)</f>
        <v>-1659024.8699999999</v>
      </c>
    </row>
    <row r="12" spans="1:19" ht="15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ht="16.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2"/>
      <c r="Q14" s="152"/>
      <c r="R14" s="152"/>
      <c r="S14" s="153"/>
    </row>
    <row r="15" spans="1:19" ht="16.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  <c r="P15" s="152"/>
      <c r="Q15" s="152"/>
      <c r="R15" s="152"/>
      <c r="S15" s="152"/>
    </row>
    <row r="16" spans="1:19" ht="18.75">
      <c r="A16" s="154"/>
      <c r="B16" s="255" t="s">
        <v>176</v>
      </c>
      <c r="C16" s="255"/>
      <c r="D16" s="255"/>
      <c r="E16" s="255"/>
      <c r="F16" s="255" t="s">
        <v>177</v>
      </c>
      <c r="G16" s="255"/>
      <c r="H16" s="255"/>
      <c r="I16" s="255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8.7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19" ht="15.7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ht="18.75">
      <c r="A19" s="151"/>
      <c r="B19" s="155" t="s">
        <v>178</v>
      </c>
      <c r="C19" s="151"/>
      <c r="D19" s="151"/>
      <c r="E19" s="151"/>
      <c r="F19" s="255" t="s">
        <v>179</v>
      </c>
      <c r="G19" s="255"/>
      <c r="H19" s="255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ht="15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3" spans="2:3" ht="15.75">
      <c r="B23" s="253" t="s">
        <v>169</v>
      </c>
      <c r="C23" s="253"/>
    </row>
    <row r="24" spans="2:3" ht="15.75">
      <c r="B24" s="253" t="s">
        <v>170</v>
      </c>
      <c r="C24" s="253"/>
    </row>
  </sheetData>
  <mergeCells count="24">
    <mergeCell ref="S2:S4"/>
    <mergeCell ref="O3:O4"/>
    <mergeCell ref="P3:P4"/>
    <mergeCell ref="Q3:Q4"/>
    <mergeCell ref="R3:R4"/>
    <mergeCell ref="L3:L4"/>
    <mergeCell ref="J2:L2"/>
    <mergeCell ref="M2:M4"/>
    <mergeCell ref="N2:R2"/>
    <mergeCell ref="N3:N4"/>
    <mergeCell ref="F3:H3"/>
    <mergeCell ref="I3:I4"/>
    <mergeCell ref="J3:J4"/>
    <mergeCell ref="K3:K4"/>
    <mergeCell ref="B23:C23"/>
    <mergeCell ref="B24:C24"/>
    <mergeCell ref="A1:S1"/>
    <mergeCell ref="B16:E16"/>
    <mergeCell ref="F16:I16"/>
    <mergeCell ref="F19:H19"/>
    <mergeCell ref="A2:A4"/>
    <mergeCell ref="B2:B4"/>
    <mergeCell ref="C2:I2"/>
    <mergeCell ref="C3:E3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2013-03-14T03:13:04Z</cp:lastPrinted>
  <dcterms:created xsi:type="dcterms:W3CDTF">2009-08-26T03:25:10Z</dcterms:created>
  <dcterms:modified xsi:type="dcterms:W3CDTF">2013-05-14T04:34:59Z</dcterms:modified>
  <cp:category/>
  <cp:version/>
  <cp:contentType/>
  <cp:contentStatus/>
</cp:coreProperties>
</file>